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40" windowHeight="12450" activeTab="1"/>
  </bookViews>
  <sheets>
    <sheet name="ปร5" sheetId="14" r:id="rId1"/>
    <sheet name="ปร4เข็มเจาะ" sheetId="34" r:id="rId2"/>
    <sheet name="factor F" sheetId="48" r:id="rId3"/>
    <sheet name="งวดงานเข็ม" sheetId="27" r:id="rId4"/>
  </sheets>
  <externalReferences>
    <externalReference r:id="rId5"/>
  </externalReferences>
  <definedNames>
    <definedName name="_xlnm.Print_Titles" localSheetId="1">ปร4เข็มเจาะ!$1:$6</definedName>
  </definedNames>
  <calcPr calcId="144525"/>
</workbook>
</file>

<file path=xl/calcChain.xml><?xml version="1.0" encoding="utf-8"?>
<calcChain xmlns="http://schemas.openxmlformats.org/spreadsheetml/2006/main">
  <c r="K290" i="34" l="1"/>
  <c r="K270" i="34"/>
  <c r="K240" i="34"/>
  <c r="K145" i="34"/>
  <c r="I15" i="34" s="1"/>
  <c r="K122" i="34"/>
  <c r="K101" i="34"/>
  <c r="I11" i="34" s="1"/>
  <c r="K92" i="34"/>
  <c r="K63" i="34"/>
  <c r="I13" i="34"/>
  <c r="F295" i="34"/>
  <c r="H295" i="34"/>
  <c r="I295" i="34" l="1"/>
  <c r="K291" i="34"/>
  <c r="I19" i="34" s="1"/>
  <c r="H294" i="34"/>
  <c r="F294" i="34"/>
  <c r="H291" i="34"/>
  <c r="F291" i="34"/>
  <c r="H290" i="34"/>
  <c r="F290" i="34"/>
  <c r="H289" i="34"/>
  <c r="F289" i="34"/>
  <c r="H288" i="34"/>
  <c r="F288" i="34"/>
  <c r="H287" i="34"/>
  <c r="F287" i="34"/>
  <c r="H286" i="34"/>
  <c r="E286" i="34"/>
  <c r="F286" i="34" s="1"/>
  <c r="H285" i="34"/>
  <c r="E285" i="34"/>
  <c r="F285" i="34" s="1"/>
  <c r="H284" i="34"/>
  <c r="E284" i="34"/>
  <c r="F284" i="34" s="1"/>
  <c r="H283" i="34"/>
  <c r="E283" i="34"/>
  <c r="F283" i="34" s="1"/>
  <c r="H282" i="34"/>
  <c r="E282" i="34"/>
  <c r="F282" i="34" s="1"/>
  <c r="H281" i="34"/>
  <c r="E281" i="34"/>
  <c r="F281" i="34" s="1"/>
  <c r="H280" i="34"/>
  <c r="F280" i="34"/>
  <c r="H279" i="34"/>
  <c r="F279" i="34"/>
  <c r="H276" i="34"/>
  <c r="F276" i="34"/>
  <c r="H275" i="34"/>
  <c r="F275" i="34"/>
  <c r="H274" i="34"/>
  <c r="F274" i="34"/>
  <c r="H273" i="34"/>
  <c r="F273" i="34"/>
  <c r="H270" i="34"/>
  <c r="F270" i="34"/>
  <c r="H269" i="34"/>
  <c r="F269" i="34"/>
  <c r="H264" i="34"/>
  <c r="E264" i="34"/>
  <c r="F264" i="34" s="1"/>
  <c r="H263" i="34"/>
  <c r="E263" i="34"/>
  <c r="F263" i="34" s="1"/>
  <c r="H262" i="34"/>
  <c r="E262" i="34"/>
  <c r="F262" i="34" s="1"/>
  <c r="H261" i="34"/>
  <c r="E261" i="34"/>
  <c r="F261" i="34" s="1"/>
  <c r="H260" i="34"/>
  <c r="E260" i="34"/>
  <c r="F260" i="34" s="1"/>
  <c r="H258" i="34"/>
  <c r="F258" i="34"/>
  <c r="H251" i="34"/>
  <c r="F251" i="34"/>
  <c r="H249" i="34"/>
  <c r="F249" i="34"/>
  <c r="H248" i="34"/>
  <c r="F248" i="34"/>
  <c r="F247" i="34"/>
  <c r="I247" i="34" s="1"/>
  <c r="H246" i="34"/>
  <c r="F246" i="34"/>
  <c r="F245" i="34"/>
  <c r="I245" i="34" s="1"/>
  <c r="H243" i="34"/>
  <c r="F243" i="34"/>
  <c r="H240" i="34"/>
  <c r="F240" i="34"/>
  <c r="H239" i="34"/>
  <c r="F239" i="34"/>
  <c r="G237" i="34"/>
  <c r="H237" i="34" s="1"/>
  <c r="F237" i="34"/>
  <c r="F236" i="34"/>
  <c r="I236" i="34" s="1"/>
  <c r="H235" i="34"/>
  <c r="F235" i="34"/>
  <c r="H234" i="34"/>
  <c r="F234" i="34"/>
  <c r="H233" i="34"/>
  <c r="F233" i="34"/>
  <c r="I251" i="34" l="1"/>
  <c r="I262" i="34"/>
  <c r="I270" i="34"/>
  <c r="I233" i="34"/>
  <c r="I287" i="34"/>
  <c r="I269" i="34"/>
  <c r="I243" i="34"/>
  <c r="I261" i="34"/>
  <c r="I294" i="34"/>
  <c r="K295" i="34" s="1"/>
  <c r="I20" i="34" s="1"/>
  <c r="K20" i="34" s="1"/>
  <c r="C16" i="14" s="1"/>
  <c r="I258" i="34"/>
  <c r="I273" i="34"/>
  <c r="I263" i="34"/>
  <c r="I246" i="34"/>
  <c r="I260" i="34"/>
  <c r="I264" i="34"/>
  <c r="I239" i="34"/>
  <c r="I275" i="34"/>
  <c r="I234" i="34"/>
  <c r="I240" i="34"/>
  <c r="I276" i="34"/>
  <c r="I274" i="34"/>
  <c r="I237" i="34"/>
  <c r="I290" i="34"/>
  <c r="I289" i="34"/>
  <c r="I281" i="34"/>
  <c r="I249" i="34"/>
  <c r="I235" i="34"/>
  <c r="I248" i="34"/>
  <c r="I285" i="34"/>
  <c r="I291" i="34"/>
  <c r="I288" i="34"/>
  <c r="I286" i="34"/>
  <c r="I283" i="34"/>
  <c r="I282" i="34"/>
  <c r="I280" i="34"/>
  <c r="I279" i="34"/>
  <c r="I284" i="34"/>
  <c r="H58" i="34"/>
  <c r="F58" i="34"/>
  <c r="H41" i="34"/>
  <c r="F41" i="34"/>
  <c r="H40" i="34"/>
  <c r="F40" i="34"/>
  <c r="C268" i="34"/>
  <c r="C267" i="34"/>
  <c r="C266" i="34"/>
  <c r="C259" i="34"/>
  <c r="C256" i="34"/>
  <c r="C255" i="34"/>
  <c r="C254" i="34"/>
  <c r="C253" i="34"/>
  <c r="C252" i="34"/>
  <c r="H229" i="34"/>
  <c r="F229" i="34"/>
  <c r="H228" i="34"/>
  <c r="F228" i="34"/>
  <c r="H227" i="34"/>
  <c r="F227" i="34"/>
  <c r="H226" i="34"/>
  <c r="F226" i="34"/>
  <c r="H225" i="34"/>
  <c r="F225" i="34"/>
  <c r="H224" i="34"/>
  <c r="F224" i="34"/>
  <c r="H223" i="34"/>
  <c r="E223" i="34"/>
  <c r="F223" i="34" s="1"/>
  <c r="C222" i="34"/>
  <c r="H222" i="34" s="1"/>
  <c r="H221" i="34"/>
  <c r="I221" i="34" s="1"/>
  <c r="H219" i="34"/>
  <c r="F219" i="34"/>
  <c r="H218" i="34"/>
  <c r="F218" i="34"/>
  <c r="H217" i="34"/>
  <c r="F217" i="34"/>
  <c r="H216" i="34"/>
  <c r="F216" i="34"/>
  <c r="H215" i="34"/>
  <c r="F215" i="34"/>
  <c r="H214" i="34"/>
  <c r="F214" i="34"/>
  <c r="H213" i="34"/>
  <c r="F213" i="34"/>
  <c r="H210" i="34"/>
  <c r="E210" i="34"/>
  <c r="F210" i="34" s="1"/>
  <c r="H209" i="34"/>
  <c r="F209" i="34"/>
  <c r="H208" i="34"/>
  <c r="F208" i="34"/>
  <c r="H207" i="34"/>
  <c r="F207" i="34"/>
  <c r="H206" i="34"/>
  <c r="F206" i="34"/>
  <c r="H205" i="34"/>
  <c r="F205" i="34"/>
  <c r="H204" i="34"/>
  <c r="F204" i="34"/>
  <c r="H203" i="34"/>
  <c r="F203" i="34"/>
  <c r="H202" i="34"/>
  <c r="F202" i="34"/>
  <c r="H201" i="34"/>
  <c r="F201" i="34"/>
  <c r="H200" i="34"/>
  <c r="F200" i="34"/>
  <c r="H199" i="34"/>
  <c r="F199" i="34"/>
  <c r="H198" i="34"/>
  <c r="F198" i="34"/>
  <c r="H195" i="34"/>
  <c r="F195" i="34"/>
  <c r="H194" i="34"/>
  <c r="F194" i="34"/>
  <c r="H193" i="34"/>
  <c r="F193" i="34"/>
  <c r="H192" i="34"/>
  <c r="F192" i="34"/>
  <c r="H191" i="34"/>
  <c r="F191" i="34"/>
  <c r="H190" i="34"/>
  <c r="F190" i="34"/>
  <c r="C189" i="34"/>
  <c r="H188" i="34"/>
  <c r="F188" i="34"/>
  <c r="H187" i="34"/>
  <c r="F187" i="34"/>
  <c r="H186" i="34"/>
  <c r="F186" i="34"/>
  <c r="H185" i="34"/>
  <c r="E185" i="34"/>
  <c r="F185" i="34" s="1"/>
  <c r="H179" i="34"/>
  <c r="F179" i="34"/>
  <c r="H178" i="34"/>
  <c r="F178" i="34"/>
  <c r="H177" i="34"/>
  <c r="F177" i="34"/>
  <c r="H176" i="34"/>
  <c r="F176" i="34"/>
  <c r="H175" i="34"/>
  <c r="F175" i="34"/>
  <c r="H174" i="34"/>
  <c r="F174" i="34"/>
  <c r="H173" i="34"/>
  <c r="F173" i="34"/>
  <c r="H172" i="34"/>
  <c r="F172" i="34"/>
  <c r="H171" i="34"/>
  <c r="F171" i="34"/>
  <c r="H170" i="34"/>
  <c r="H169" i="34"/>
  <c r="F169" i="34"/>
  <c r="H168" i="34"/>
  <c r="E170" i="34"/>
  <c r="F170" i="34" s="1"/>
  <c r="H167" i="34"/>
  <c r="E167" i="34"/>
  <c r="F167" i="34" s="1"/>
  <c r="H166" i="34"/>
  <c r="E166" i="34"/>
  <c r="F166" i="34" s="1"/>
  <c r="C165" i="34"/>
  <c r="G162" i="34"/>
  <c r="H162" i="34" s="1"/>
  <c r="E162" i="34"/>
  <c r="F162" i="34" s="1"/>
  <c r="H161" i="34"/>
  <c r="F161" i="34"/>
  <c r="C160" i="34"/>
  <c r="H160" i="34" s="1"/>
  <c r="H159" i="34"/>
  <c r="F159" i="34"/>
  <c r="H158" i="34"/>
  <c r="F158" i="34"/>
  <c r="H157" i="34"/>
  <c r="F157" i="34"/>
  <c r="H156" i="34"/>
  <c r="F156" i="34"/>
  <c r="H155" i="34"/>
  <c r="F155" i="34"/>
  <c r="H152" i="34"/>
  <c r="F152" i="34"/>
  <c r="H151" i="34"/>
  <c r="F151" i="34"/>
  <c r="H149" i="34"/>
  <c r="F149" i="34"/>
  <c r="H148" i="34"/>
  <c r="F148" i="34"/>
  <c r="H145" i="34"/>
  <c r="F145" i="34"/>
  <c r="H144" i="34"/>
  <c r="F144" i="34"/>
  <c r="H143" i="34"/>
  <c r="F143" i="34"/>
  <c r="H142" i="34"/>
  <c r="F142" i="34"/>
  <c r="C139" i="34"/>
  <c r="H139" i="34" s="1"/>
  <c r="H138" i="34"/>
  <c r="F138" i="34"/>
  <c r="H137" i="34"/>
  <c r="F137" i="34"/>
  <c r="H136" i="34"/>
  <c r="F136" i="34"/>
  <c r="H135" i="34"/>
  <c r="F135" i="34"/>
  <c r="H134" i="34"/>
  <c r="F134" i="34"/>
  <c r="G133" i="34"/>
  <c r="H133" i="34" s="1"/>
  <c r="E133" i="34"/>
  <c r="F133" i="34" s="1"/>
  <c r="G132" i="34"/>
  <c r="H132" i="34" s="1"/>
  <c r="E132" i="34"/>
  <c r="F132" i="34" s="1"/>
  <c r="G131" i="34"/>
  <c r="H131" i="34" s="1"/>
  <c r="E131" i="34"/>
  <c r="F131" i="34" s="1"/>
  <c r="G130" i="34"/>
  <c r="H130" i="34" s="1"/>
  <c r="E130" i="34"/>
  <c r="F130" i="34" s="1"/>
  <c r="G129" i="34"/>
  <c r="H129" i="34" s="1"/>
  <c r="E129" i="34"/>
  <c r="F129" i="34" s="1"/>
  <c r="G128" i="34"/>
  <c r="H128" i="34" s="1"/>
  <c r="E128" i="34"/>
  <c r="F128" i="34" s="1"/>
  <c r="H127" i="34"/>
  <c r="F127" i="34"/>
  <c r="H126" i="34"/>
  <c r="F126" i="34"/>
  <c r="H122" i="34"/>
  <c r="F122" i="34"/>
  <c r="H121" i="34"/>
  <c r="F121" i="34"/>
  <c r="H120" i="34"/>
  <c r="F120" i="34"/>
  <c r="H119" i="34"/>
  <c r="F119" i="34"/>
  <c r="H118" i="34"/>
  <c r="F118" i="34"/>
  <c r="H117" i="34"/>
  <c r="F117" i="34"/>
  <c r="H116" i="34"/>
  <c r="F116" i="34"/>
  <c r="H115" i="34"/>
  <c r="F115" i="34"/>
  <c r="H114" i="34"/>
  <c r="F114" i="34"/>
  <c r="G111" i="34"/>
  <c r="H111" i="34" s="1"/>
  <c r="E111" i="34"/>
  <c r="F111" i="34" s="1"/>
  <c r="C110" i="34"/>
  <c r="H109" i="34"/>
  <c r="F109" i="34"/>
  <c r="H108" i="34"/>
  <c r="F108" i="34"/>
  <c r="H107" i="34"/>
  <c r="F107" i="34"/>
  <c r="H106" i="34"/>
  <c r="F106" i="34"/>
  <c r="H105" i="34"/>
  <c r="F105" i="34"/>
  <c r="G104" i="34"/>
  <c r="H104" i="34" s="1"/>
  <c r="E104" i="34"/>
  <c r="F104" i="34" s="1"/>
  <c r="H101" i="34"/>
  <c r="F101" i="34"/>
  <c r="H100" i="34"/>
  <c r="F100" i="34"/>
  <c r="H99" i="34"/>
  <c r="F99" i="34"/>
  <c r="H96" i="34"/>
  <c r="I96" i="34" s="1"/>
  <c r="K95" i="34" s="1"/>
  <c r="K96" i="34" s="1"/>
  <c r="I10" i="34" s="1"/>
  <c r="F96" i="34"/>
  <c r="H95" i="34"/>
  <c r="F95" i="34"/>
  <c r="H92" i="34"/>
  <c r="F92" i="34"/>
  <c r="H91" i="34"/>
  <c r="F91" i="34"/>
  <c r="H90" i="34"/>
  <c r="F90" i="34"/>
  <c r="H89" i="34"/>
  <c r="F89" i="34"/>
  <c r="H88" i="34"/>
  <c r="F88" i="34"/>
  <c r="H87" i="34"/>
  <c r="F87" i="34"/>
  <c r="H86" i="34"/>
  <c r="E86" i="34"/>
  <c r="F86" i="34" s="1"/>
  <c r="H85" i="34"/>
  <c r="F85" i="34"/>
  <c r="H84" i="34"/>
  <c r="F84" i="34"/>
  <c r="H83" i="34"/>
  <c r="F83" i="34"/>
  <c r="E80" i="34"/>
  <c r="F80" i="34" s="1"/>
  <c r="I80" i="34" s="1"/>
  <c r="H79" i="34"/>
  <c r="E79" i="34"/>
  <c r="F79" i="34" s="1"/>
  <c r="H78" i="34"/>
  <c r="E78" i="34"/>
  <c r="F78" i="34" s="1"/>
  <c r="H77" i="34"/>
  <c r="F77" i="34"/>
  <c r="H76" i="34"/>
  <c r="F76" i="34"/>
  <c r="F75" i="34"/>
  <c r="I75" i="34" s="1"/>
  <c r="H74" i="34"/>
  <c r="F74" i="34"/>
  <c r="H73" i="34"/>
  <c r="F73" i="34"/>
  <c r="H72" i="34"/>
  <c r="F72" i="34"/>
  <c r="H71" i="34"/>
  <c r="F71" i="34"/>
  <c r="H70" i="34"/>
  <c r="F70" i="34"/>
  <c r="H69" i="34"/>
  <c r="F69" i="34"/>
  <c r="H67" i="34"/>
  <c r="F67" i="34"/>
  <c r="F66" i="34"/>
  <c r="I66" i="34" s="1"/>
  <c r="K79" i="34" s="1"/>
  <c r="K80" i="34" s="1"/>
  <c r="I9" i="34" s="1"/>
  <c r="F63" i="34"/>
  <c r="I63" i="34" s="1"/>
  <c r="C62" i="34"/>
  <c r="F62" i="34" s="1"/>
  <c r="I62" i="34" s="1"/>
  <c r="H61" i="34"/>
  <c r="I61" i="34" s="1"/>
  <c r="F60" i="34"/>
  <c r="I60" i="34" s="1"/>
  <c r="F55" i="34"/>
  <c r="I55" i="34" s="1"/>
  <c r="C54" i="34"/>
  <c r="H54" i="34" s="1"/>
  <c r="C53" i="34"/>
  <c r="H53" i="34" s="1"/>
  <c r="C52" i="34"/>
  <c r="H52" i="34" s="1"/>
  <c r="C51" i="34"/>
  <c r="H51" i="34" s="1"/>
  <c r="C50" i="34"/>
  <c r="F50" i="34" s="1"/>
  <c r="F49" i="34"/>
  <c r="I49" i="34" s="1"/>
  <c r="C48" i="34"/>
  <c r="F48" i="34" s="1"/>
  <c r="I48" i="34" s="1"/>
  <c r="H47" i="34"/>
  <c r="I47" i="34" s="1"/>
  <c r="F46" i="34"/>
  <c r="I46" i="34" s="1"/>
  <c r="H45" i="34"/>
  <c r="F45" i="34"/>
  <c r="H44" i="34"/>
  <c r="F44" i="34"/>
  <c r="H43" i="34"/>
  <c r="F43" i="34"/>
  <c r="H42" i="34"/>
  <c r="I42" i="34" s="1"/>
  <c r="H39" i="34"/>
  <c r="I39" i="34" s="1"/>
  <c r="F38" i="34"/>
  <c r="I38" i="34" s="1"/>
  <c r="H37" i="34"/>
  <c r="I37" i="34" s="1"/>
  <c r="K55" i="34" l="1"/>
  <c r="I8" i="34" s="1"/>
  <c r="H252" i="34"/>
  <c r="F252" i="34"/>
  <c r="H268" i="34"/>
  <c r="F268" i="34"/>
  <c r="F51" i="34"/>
  <c r="I51" i="34" s="1"/>
  <c r="H253" i="34"/>
  <c r="F253" i="34"/>
  <c r="F52" i="34"/>
  <c r="I52" i="34" s="1"/>
  <c r="H254" i="34"/>
  <c r="F254" i="34"/>
  <c r="F53" i="34"/>
  <c r="I53" i="34" s="1"/>
  <c r="H255" i="34"/>
  <c r="F255" i="34"/>
  <c r="F54" i="34"/>
  <c r="I54" i="34" s="1"/>
  <c r="H256" i="34"/>
  <c r="F256" i="34"/>
  <c r="F259" i="34"/>
  <c r="H259" i="34"/>
  <c r="G265" i="34" s="1"/>
  <c r="H265" i="34" s="1"/>
  <c r="H266" i="34"/>
  <c r="F266" i="34"/>
  <c r="H267" i="34"/>
  <c r="F267" i="34"/>
  <c r="I41" i="34"/>
  <c r="I64" i="34" s="1"/>
  <c r="I40" i="34"/>
  <c r="I187" i="34"/>
  <c r="I67" i="34"/>
  <c r="I69" i="34"/>
  <c r="I70" i="34"/>
  <c r="I71" i="34"/>
  <c r="I72" i="34"/>
  <c r="I73" i="34"/>
  <c r="I74" i="34"/>
  <c r="I83" i="34"/>
  <c r="I100" i="34"/>
  <c r="I118" i="34"/>
  <c r="I119" i="34"/>
  <c r="I120" i="34"/>
  <c r="I122" i="34"/>
  <c r="I101" i="34"/>
  <c r="I114" i="34"/>
  <c r="I126" i="34"/>
  <c r="I127" i="34"/>
  <c r="I129" i="34"/>
  <c r="I131" i="34"/>
  <c r="I133" i="34"/>
  <c r="I134" i="34"/>
  <c r="I135" i="34"/>
  <c r="I136" i="34"/>
  <c r="I137" i="34"/>
  <c r="I138" i="34"/>
  <c r="I148" i="34"/>
  <c r="K152" i="34" s="1"/>
  <c r="I149" i="34"/>
  <c r="I166" i="34"/>
  <c r="I188" i="34"/>
  <c r="I190" i="34"/>
  <c r="I191" i="34"/>
  <c r="I192" i="34"/>
  <c r="I193" i="34"/>
  <c r="I194" i="34"/>
  <c r="I195" i="34"/>
  <c r="I198" i="34"/>
  <c r="I199" i="34"/>
  <c r="I200" i="34"/>
  <c r="I201" i="34"/>
  <c r="I202" i="34"/>
  <c r="I203" i="34"/>
  <c r="I204" i="34"/>
  <c r="I205" i="34"/>
  <c r="I206" i="34"/>
  <c r="I207" i="34"/>
  <c r="I208" i="34"/>
  <c r="K210" i="34" s="1"/>
  <c r="I209" i="34"/>
  <c r="I210" i="34"/>
  <c r="I213" i="34"/>
  <c r="I214" i="34"/>
  <c r="I215" i="34"/>
  <c r="I216" i="34"/>
  <c r="I217" i="34"/>
  <c r="I218" i="34"/>
  <c r="I219" i="34"/>
  <c r="F222" i="34"/>
  <c r="I222" i="34" s="1"/>
  <c r="I43" i="34"/>
  <c r="I44" i="34"/>
  <c r="I45" i="34"/>
  <c r="I58" i="34"/>
  <c r="I76" i="34"/>
  <c r="I77" i="34"/>
  <c r="I78" i="34"/>
  <c r="I79" i="34"/>
  <c r="I84" i="34"/>
  <c r="I115" i="34"/>
  <c r="I116" i="34"/>
  <c r="I161" i="34"/>
  <c r="F168" i="34"/>
  <c r="I168" i="34" s="1"/>
  <c r="I169" i="34"/>
  <c r="I85" i="34"/>
  <c r="I86" i="34"/>
  <c r="I87" i="34"/>
  <c r="I88" i="34"/>
  <c r="I89" i="34"/>
  <c r="I90" i="34"/>
  <c r="I91" i="34"/>
  <c r="I92" i="34"/>
  <c r="I95" i="34"/>
  <c r="I99" i="34"/>
  <c r="I117" i="34"/>
  <c r="I121" i="34"/>
  <c r="I162" i="34"/>
  <c r="K161" i="34" s="1"/>
  <c r="H165" i="34"/>
  <c r="F165" i="34"/>
  <c r="I186" i="34"/>
  <c r="I104" i="34"/>
  <c r="I105" i="34"/>
  <c r="I106" i="34"/>
  <c r="I107" i="34"/>
  <c r="I108" i="34"/>
  <c r="I109" i="34"/>
  <c r="F110" i="34"/>
  <c r="I111" i="34"/>
  <c r="I142" i="34"/>
  <c r="I143" i="34"/>
  <c r="I144" i="34"/>
  <c r="I145" i="34"/>
  <c r="I151" i="34"/>
  <c r="I152" i="34"/>
  <c r="I155" i="34"/>
  <c r="I156" i="34"/>
  <c r="I157" i="34"/>
  <c r="I158" i="34"/>
  <c r="I159" i="34"/>
  <c r="I167" i="34"/>
  <c r="K179" i="34" s="1"/>
  <c r="I17" i="34" s="1"/>
  <c r="I170" i="34"/>
  <c r="I171" i="34"/>
  <c r="I172" i="34"/>
  <c r="I173" i="34"/>
  <c r="I174" i="34"/>
  <c r="I175" i="34"/>
  <c r="I177" i="34"/>
  <c r="I178" i="34"/>
  <c r="I179" i="34"/>
  <c r="F189" i="34"/>
  <c r="H189" i="34"/>
  <c r="I223" i="34"/>
  <c r="I224" i="34"/>
  <c r="I225" i="34"/>
  <c r="I226" i="34"/>
  <c r="I227" i="34"/>
  <c r="I228" i="34"/>
  <c r="I229" i="34"/>
  <c r="I128" i="34"/>
  <c r="I130" i="34"/>
  <c r="I132" i="34"/>
  <c r="H50" i="34"/>
  <c r="I50" i="34" s="1"/>
  <c r="H110" i="34"/>
  <c r="F139" i="34"/>
  <c r="I139" i="34" s="1"/>
  <c r="F160" i="34"/>
  <c r="I160" i="34" s="1"/>
  <c r="I176" i="34"/>
  <c r="I185" i="34"/>
  <c r="K162" i="34" l="1"/>
  <c r="K111" i="34"/>
  <c r="I12" i="34" s="1"/>
  <c r="K228" i="34"/>
  <c r="K229" i="34" s="1"/>
  <c r="I18" i="34" s="1"/>
  <c r="K139" i="34"/>
  <c r="I14" i="34" s="1"/>
  <c r="I65" i="34"/>
  <c r="I93" i="34" s="1"/>
  <c r="I256" i="34"/>
  <c r="I253" i="34"/>
  <c r="G277" i="34"/>
  <c r="H277" i="34" s="1"/>
  <c r="I255" i="34"/>
  <c r="I266" i="34"/>
  <c r="I268" i="34"/>
  <c r="I254" i="34"/>
  <c r="I267" i="34"/>
  <c r="I252" i="34"/>
  <c r="I259" i="34"/>
  <c r="E265" i="34"/>
  <c r="F265" i="34" s="1"/>
  <c r="I265" i="34" s="1"/>
  <c r="I165" i="34"/>
  <c r="I110" i="34"/>
  <c r="I189" i="34"/>
  <c r="E196" i="34"/>
  <c r="E277" i="34"/>
  <c r="F277" i="34" s="1"/>
  <c r="D13" i="48"/>
  <c r="D7" i="48"/>
  <c r="I277" i="34" l="1"/>
  <c r="I94" i="34"/>
  <c r="I123" i="34" s="1"/>
  <c r="F196" i="34"/>
  <c r="G196" i="34"/>
  <c r="H196" i="34" s="1"/>
  <c r="E197" i="34" l="1"/>
  <c r="I196" i="34"/>
  <c r="E16" i="14"/>
  <c r="F197" i="34" l="1"/>
  <c r="G197" i="34"/>
  <c r="H197" i="34" s="1"/>
  <c r="I197" i="34" l="1"/>
  <c r="D8" i="48" l="1"/>
  <c r="D11" i="48" l="1"/>
  <c r="E11" i="48" s="1"/>
  <c r="F11" i="48" s="1"/>
  <c r="D15" i="48" s="1"/>
  <c r="D12" i="48"/>
  <c r="E12" i="48" s="1"/>
  <c r="F12" i="48" s="1"/>
  <c r="D16" i="48" s="1"/>
  <c r="I124" i="34" l="1"/>
  <c r="I16" i="34"/>
  <c r="K19" i="34" s="1"/>
  <c r="C15" i="14" s="1"/>
  <c r="I13" i="14" l="1"/>
  <c r="I19" i="14" s="1"/>
  <c r="A23" i="14"/>
  <c r="E15" i="14"/>
  <c r="E21" i="14" s="1"/>
  <c r="I35" i="34"/>
  <c r="I153" i="34"/>
  <c r="I154" i="34" s="1"/>
  <c r="J19" i="34" l="1"/>
  <c r="I23" i="14"/>
  <c r="J16" i="34"/>
  <c r="J11" i="34"/>
  <c r="J15" i="34"/>
  <c r="F21" i="14"/>
  <c r="E22" i="14"/>
  <c r="I25" i="14" s="1"/>
  <c r="J9" i="34"/>
  <c r="J20" i="34"/>
  <c r="J18" i="34"/>
  <c r="J14" i="34"/>
  <c r="J10" i="34"/>
  <c r="J17" i="34"/>
  <c r="J13" i="34"/>
  <c r="J12" i="34"/>
  <c r="J8" i="34"/>
  <c r="I182" i="34"/>
  <c r="I183" i="34" s="1"/>
  <c r="B22" i="14" l="1"/>
  <c r="I211" i="34"/>
  <c r="I212" i="34" s="1"/>
  <c r="I241" i="34" l="1"/>
  <c r="I242" i="34" s="1"/>
  <c r="I271" i="34" l="1"/>
  <c r="I272" i="34" s="1"/>
  <c r="I301" i="34" s="1"/>
</calcChain>
</file>

<file path=xl/comments1.xml><?xml version="1.0" encoding="utf-8"?>
<comments xmlns="http://schemas.openxmlformats.org/spreadsheetml/2006/main">
  <authors>
    <author>user</author>
  </authors>
  <commentList>
    <comment ref="E196" author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ร้อยละ50ค่าวัสดุ</t>
        </r>
      </text>
    </comment>
    <comment ref="G196" author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ร้อยละ30ค่าวัสดุ
</t>
        </r>
      </text>
    </comment>
    <comment ref="E197" author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ร้อยละ30ค่าวัสดุ</t>
        </r>
      </text>
    </comment>
    <comment ref="G197" author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ร้อยละ30ค่าวัสดุ
</t>
        </r>
      </text>
    </comment>
    <comment ref="E237" author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ground rod 5/8 10'=1220
ground test box =2400
clamp =320+40+</t>
        </r>
      </text>
    </comment>
    <comment ref="E265" author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คิดร้อยละ20ของวัสดุ</t>
        </r>
      </text>
    </comment>
    <comment ref="G265" author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คิดร้อยละ20ของแรงงาน</t>
        </r>
      </text>
    </comment>
    <comment ref="E277" author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คิดร้อยละ5ของค่าวัสดุ</t>
        </r>
      </text>
    </comment>
    <comment ref="G277" author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คิดร้อยละ5ค่าแรง</t>
        </r>
      </text>
    </comment>
  </commentList>
</comments>
</file>

<file path=xl/sharedStrings.xml><?xml version="1.0" encoding="utf-8"?>
<sst xmlns="http://schemas.openxmlformats.org/spreadsheetml/2006/main" count="736" uniqueCount="424">
  <si>
    <t xml:space="preserve"> </t>
  </si>
  <si>
    <t>สำนักงานคณะกรรมการการอาชีวศึกษา</t>
  </si>
  <si>
    <t>ลำดับที่</t>
  </si>
  <si>
    <t>รายการ</t>
  </si>
  <si>
    <t>หน่วย</t>
  </si>
  <si>
    <t xml:space="preserve">               ราคาวัสดุ</t>
  </si>
  <si>
    <t>รวมค่าวัสดุ</t>
  </si>
  <si>
    <t>หมายเหตุ</t>
  </si>
  <si>
    <t>ราคาหน่วยละ</t>
  </si>
  <si>
    <t>จำนวนเงิน</t>
  </si>
  <si>
    <t>และค่าแรงงาน</t>
  </si>
  <si>
    <t>สรุปงานก่อสร้าง</t>
  </si>
  <si>
    <t>คิดเป็นร้อยละ</t>
  </si>
  <si>
    <t>รวม</t>
  </si>
  <si>
    <t>รวมราคาวัสดุและแรงงานเป็นเงินประมาณ</t>
  </si>
  <si>
    <t>จุด</t>
  </si>
  <si>
    <t>ลบ.ม</t>
  </si>
  <si>
    <t>ลบ.ฟ</t>
  </si>
  <si>
    <t>ก.ก</t>
  </si>
  <si>
    <t>ตัน</t>
  </si>
  <si>
    <t>ตรม</t>
  </si>
  <si>
    <t>กก</t>
  </si>
  <si>
    <t>รวมยอดยกไป</t>
  </si>
  <si>
    <t>รวมยอดยกมา</t>
  </si>
  <si>
    <t>กก.</t>
  </si>
  <si>
    <t>ตร.ม.</t>
  </si>
  <si>
    <t>ม</t>
  </si>
  <si>
    <t>ชุด</t>
  </si>
  <si>
    <t>ตร.ฟ</t>
  </si>
  <si>
    <t>สรุป</t>
  </si>
  <si>
    <t>ตะปู</t>
  </si>
  <si>
    <t>set</t>
  </si>
  <si>
    <t>Lot</t>
  </si>
  <si>
    <t>m</t>
  </si>
  <si>
    <t>แบบ ปร.5</t>
  </si>
  <si>
    <t>สรุปผลการประมาณราคาค่าก่อสร้าง</t>
  </si>
  <si>
    <t>ค่าวัสดุและค่าแรงงาน</t>
  </si>
  <si>
    <t>Factor F</t>
  </si>
  <si>
    <t>รวมค่าก่อสร้าง</t>
  </si>
  <si>
    <t>เป็นเงิน/บาท</t>
  </si>
  <si>
    <t>ประเภทงานอาคาร</t>
  </si>
  <si>
    <t>จำนวน</t>
  </si>
  <si>
    <t>ตร.ม</t>
  </si>
  <si>
    <t>ต้น</t>
  </si>
  <si>
    <t>หน่วยงานออกแบบแปลนและรายการ   สำนักงานคณะกรรมการการอาชีวศึกษา</t>
  </si>
  <si>
    <t>ส่วนราชการ สำนักงานคณะกรรมการการอาชีวศึกษา</t>
  </si>
  <si>
    <t xml:space="preserve">- ก่ออิฐผนัง ติดตั้งวงกบประตูหน้าต่างเหล็ก พร้อมหล่อคอนกรีตเสาเอ็นและเอ็นทับหลัง ค.ส.ล. </t>
  </si>
  <si>
    <t>ม.</t>
  </si>
  <si>
    <t>- เงินล่วงหน้าจ่าย - %</t>
  </si>
  <si>
    <t>- เงินประกันผลงานหัก - %</t>
  </si>
  <si>
    <t>- ค่าภาษีมูลค่าเพิ่ม 7 %</t>
  </si>
  <si>
    <t>รายการก่อสร้าง  และสัญญาทุกประการ รวมทั้งทำสถานที่ก่อสร้างให้สะอาดเรียบร้อย</t>
  </si>
  <si>
    <t>งวดที่</t>
  </si>
  <si>
    <t>- ทาสีตกแต่งส่วนต่างๆทั้งภายในและภายนอกในส่วนที่ต้องทา  แล้วเสร็จ</t>
  </si>
  <si>
    <t>- ทำการทดสอบงานระบบต่างๆจนใช้การได้เรียบร้อยสมบูรณ์</t>
  </si>
  <si>
    <t>- ทำการก่อสร้างงานส่วนอื่นๆที่เหลือทั้งหมดให้แล้วเสร็จเรียบร้อยถูกต้อง  ครบถ้วนตามรูปแบบ</t>
  </si>
  <si>
    <t xml:space="preserve">  ค่าแรงงาน</t>
  </si>
  <si>
    <t>งานโครงสร้าง</t>
  </si>
  <si>
    <t>งานหลังคา</t>
  </si>
  <si>
    <t>งานฝ้าเพดาน</t>
  </si>
  <si>
    <t>งานทำผิวพื้น</t>
  </si>
  <si>
    <t>งานปูนและงานตกแต่งผนัง</t>
  </si>
  <si>
    <t>งานประตูหน้าต่าง</t>
  </si>
  <si>
    <t>งานสี</t>
  </si>
  <si>
    <t>งานสุขภัณฑ์</t>
  </si>
  <si>
    <t>งานเบ็ดเตล็ด</t>
  </si>
  <si>
    <t>งานระบบสุขาภิบาลอาคาร</t>
  </si>
  <si>
    <t>งานไฟฟ้า</t>
  </si>
  <si>
    <t>เจาะสำรวจชั้นดิน</t>
  </si>
  <si>
    <t>เหล็ก SR24 Dai 6 มม.</t>
  </si>
  <si>
    <t>เหล็ก SR24 Dai 9 มม.</t>
  </si>
  <si>
    <t>ลวดผูกเหล็ก เบอร์ 18</t>
  </si>
  <si>
    <t>2.2.1</t>
  </si>
  <si>
    <t>2.2.2</t>
  </si>
  <si>
    <t>2.2.3</t>
  </si>
  <si>
    <t>2.2.4</t>
  </si>
  <si>
    <t>2.2.5</t>
  </si>
  <si>
    <t>2.3.1</t>
  </si>
  <si>
    <t>2.3.2</t>
  </si>
  <si>
    <t>2.3.3</t>
  </si>
  <si>
    <t>2.3.5</t>
  </si>
  <si>
    <t>2.3.6</t>
  </si>
  <si>
    <t>2.3.7</t>
  </si>
  <si>
    <t>2.4.1</t>
  </si>
  <si>
    <t>2.4.2</t>
  </si>
  <si>
    <t>2.4.3</t>
  </si>
  <si>
    <t>2.4.4</t>
  </si>
  <si>
    <t>ผ1 ผนังก่ออิฐครึ่งแผ่น</t>
  </si>
  <si>
    <t>เสาเอ็นและทับหลัง ค.ส.ล.ขนาด10x10ซม</t>
  </si>
  <si>
    <t>กระจกใส 5 มม.</t>
  </si>
  <si>
    <t>กระจกฝ้า 5 มม.</t>
  </si>
  <si>
    <t>สายไฟ ท่อและรางเดินสายไฟฟ้า</t>
  </si>
  <si>
    <t>ดวงไฟ สวิตช์และเต้ารับ</t>
  </si>
  <si>
    <t xml:space="preserve">Receptacle:Universal Duplex 2P16A250v </t>
  </si>
  <si>
    <t>- เทคอนกรีตพื้น พ1 และตกแต่งผิวพื้นผิวขัดเรียบ พ1 พื้นชั้นล่างแล้วเสร็จ</t>
  </si>
  <si>
    <t>- ตกแต่ง ติดตั้งบัวเชิงผนังหินขัดสำเร็จรูป ทั้งหมดแล้วเสร็จ</t>
  </si>
  <si>
    <t xml:space="preserve">- ติดตั้งเซอร์กิตเบรกเกอร์ ดวงโคมไฟฟ้า สวิตช์ เต้ารับ พร้อมอุปกรณ์ ทั้งหมดแล้วเสร็จ </t>
  </si>
  <si>
    <t>ประเภทงานที่ไม่พิจารณาFactor F</t>
  </si>
  <si>
    <t>vat 7%</t>
  </si>
  <si>
    <t>งานที่ไม่พิจารณาให้ค่า Factor F.</t>
  </si>
  <si>
    <t>บัวเชิงผนังหินขัดสำเร็จ</t>
  </si>
  <si>
    <t>lot</t>
  </si>
  <si>
    <t>ข้อต่อและอุปกรณ์ประกอบ</t>
  </si>
  <si>
    <t>อุปกรณ์ยึดแขวนท่อ น้ำยา และอื่นๆ</t>
  </si>
  <si>
    <t>รวมค่าก่อสร้างเป็นเงินทั้งสิ้นคิดเป็นเงินประมาณ</t>
  </si>
  <si>
    <t>ขุดดินถมคืน</t>
  </si>
  <si>
    <t>คอนกรีตฐานและพื้นบน</t>
  </si>
  <si>
    <t>เหล็ก SR24 Ø 9 มม.</t>
  </si>
  <si>
    <t>ปูนทรายสำหรับรองพื้นบุวัสดุแผ่นสำเร็จรูป</t>
  </si>
  <si>
    <t>ปูนทรายสำหรับรองพื้นปูวัสดุแผ่นพื้นสำเร็จรูป</t>
  </si>
  <si>
    <t>คอนกรีตสำเร็จรูป</t>
  </si>
  <si>
    <t>อัน</t>
  </si>
  <si>
    <t>ชุดควบคุมเครื่องปั้มน้ำอัตโนมัติขนาด3แรงม้า</t>
  </si>
  <si>
    <t>ฉาบปูนผนังภายใน</t>
  </si>
  <si>
    <t>ฉาบปูนผนังภายนอก</t>
  </si>
  <si>
    <t>- ติดตั้งเดินระบบท่อโสโครก ท่อน้ำทิ้ง ท่ออากาศ ท่อประปาภายในอาคาร แล้วเสร็จ</t>
  </si>
  <si>
    <t>ฉาบปูนโครงสร้างภายใน</t>
  </si>
  <si>
    <t>ฉาบปูนโครงสร้างภายนอก</t>
  </si>
  <si>
    <t>2.2.6</t>
  </si>
  <si>
    <t>ปูนทรายรองพื้นแทนแบบท้องคานและแบบพื้น</t>
  </si>
  <si>
    <t>เหล็ก SD40 Dai 12 มม.</t>
  </si>
  <si>
    <t>เหล็ก SD40 Dai 16 มม.</t>
  </si>
  <si>
    <t>เหล็ก SD40 Dai 20 มม.</t>
  </si>
  <si>
    <t>เหล็ก SD40 Dai 25 มม.</t>
  </si>
  <si>
    <t>เคาน์เตอร์คสล.ผิวกรุแกรนิตยาว 0.90 ม.</t>
  </si>
  <si>
    <t>St1พื้นชานพักผิวหินขัดสำเร็จรูป</t>
  </si>
  <si>
    <t>St1ขั้นบันไดผิวหินขัดสำเร็จรูป</t>
  </si>
  <si>
    <t>St2ขั้นบันไดผิวหินขัดสำเร็จ</t>
  </si>
  <si>
    <t>THW 2.5 sq.mm</t>
  </si>
  <si>
    <t>THW 4.0 sq.mm</t>
  </si>
  <si>
    <t>THW 6.0 sq.mm</t>
  </si>
  <si>
    <t>THW  185 sq.mm</t>
  </si>
  <si>
    <t>THW  150 sq.mm</t>
  </si>
  <si>
    <t>THW  25 sq.mm</t>
  </si>
  <si>
    <t>Accessories</t>
  </si>
  <si>
    <t>GROUNDING SYSTEM</t>
  </si>
  <si>
    <t>ขุดดินและถมคืน</t>
  </si>
  <si>
    <t>วัสดุรองก้น(ทรายหยาบ)</t>
  </si>
  <si>
    <t xml:space="preserve">แบบหล่อคอนกรีต </t>
  </si>
  <si>
    <t>เหล็กเสริมคอนกรีต</t>
  </si>
  <si>
    <t>คอนกรีตทับหน้า หนา 5 ซม</t>
  </si>
  <si>
    <t>เหล็ก C100x50X20x2.3mm</t>
  </si>
  <si>
    <t>งานดินและเสาเข็ม</t>
  </si>
  <si>
    <t>ปิดลอนไม้เทียม 1"x6" หนา 8 มม</t>
  </si>
  <si>
    <t>เชิงชายไม้สังเคราะห์ไฟเบอร์ซีเมนต์ 1"x8" หนา16มม</t>
  </si>
  <si>
    <t>งานประตูหน้าต่าง (รวมอุปกรณ์)</t>
  </si>
  <si>
    <t>MDB (MAIN Distribution Board)</t>
  </si>
  <si>
    <r>
      <t>3P 400AT630AF 50KA</t>
    </r>
    <r>
      <rPr>
        <sz val="12"/>
        <rFont val="TH Niramit AS"/>
      </rPr>
      <t xml:space="preserve"> @415/240V630BUSBAR</t>
    </r>
  </si>
  <si>
    <t>MP (MAIN Panel  Board)</t>
  </si>
  <si>
    <t>KWHr 1P 30/100a</t>
  </si>
  <si>
    <t>KWHr 3P 30/100a</t>
  </si>
  <si>
    <t>RCBO(30mA) 1P 16AT 63AF 6KA</t>
  </si>
  <si>
    <t>THW  120 sq.mm</t>
  </si>
  <si>
    <t>THW  10 sq.mm</t>
  </si>
  <si>
    <t>ฉนวนใยแก้วกันความร้อนสีเขียวหนา25มม</t>
  </si>
  <si>
    <t>1Switch ,1P 250v 16A in FS Box w/Cover</t>
  </si>
  <si>
    <t>2Switch ,1P 250v 16A in FS Box w/Cover</t>
  </si>
  <si>
    <t>3Switch ,1P 250v 16A in FS Box w/Cover</t>
  </si>
  <si>
    <t>4Switch ,1P 250v 16A in FS Box w/Cover</t>
  </si>
  <si>
    <t>3-Way Switch 1P250v 16A in FS Box w/Cover</t>
  </si>
  <si>
    <t>in FS Box w/Cover</t>
  </si>
  <si>
    <t>Digital TV Terminal Box</t>
  </si>
  <si>
    <t xml:space="preserve">Terminal Box : FS Box w/Cover for Wire </t>
  </si>
  <si>
    <t>Exit Sign : Double Side completed</t>
  </si>
  <si>
    <t xml:space="preserve">LED Emergency Light : LED 2x6W </t>
  </si>
  <si>
    <t>เผื่อต่อ 100 ม</t>
  </si>
  <si>
    <t>SERVICE ENTRANCE CAP Ø 3"</t>
  </si>
  <si>
    <t>เครื่องสูบน้ำ3Hp 3Ph380V50CYCLE 2900RPM</t>
  </si>
  <si>
    <t>ถังดับเพลิง  CHEMICAL POWDER 15 ปอนด์</t>
  </si>
  <si>
    <t>ฝาเปิดปิดสแตนเลส ขนาด 0.80x0.80</t>
  </si>
  <si>
    <t>ก๊อกน้ำล้างพื้น ขนาด1/2"</t>
  </si>
  <si>
    <t>กระจกเงาบานใหญ่ COTTO</t>
  </si>
  <si>
    <t>ท่อPVCชั้น13.5ขนาด Ø1/2"</t>
  </si>
  <si>
    <t>ท่อPVCชั้น13.5ขนาด Ø3/4"</t>
  </si>
  <si>
    <t>ท่อPVCชั้น 8.5ขนาด Ø6"</t>
  </si>
  <si>
    <t>ท่อPVCชั้น 8.5ขนาด Ø4"</t>
  </si>
  <si>
    <t>ท่อPVCชั้น 8.5ขนาด Ø3"</t>
  </si>
  <si>
    <t>ท่อPVCชั้น 8.5ขนาด Ø 1 1/2"</t>
  </si>
  <si>
    <t>โถส้วมนั่งราบ C10527(COTTO)</t>
  </si>
  <si>
    <t>อ่างล้างหน้าแบบฝังเคาน์เตอร์ C0171(COTTO)</t>
  </si>
  <si>
    <t>ก๊อกเดี่ยวCT1200C18(COTTO) สะดืออ่างฯTRAP CT560(HM)(COTTO)</t>
  </si>
  <si>
    <t>ที่วางสบู่เซรามิคฝังผนังC8600 (COTTO)</t>
  </si>
  <si>
    <t>ทีใส่กระดาษชำระชนิดฝังผนังC814 (COTTO)</t>
  </si>
  <si>
    <t>ฝักบัวฉีดชำระCT99001#SA(HM) (COTTO)</t>
  </si>
  <si>
    <t>ราวแขวนผ้าCT041(HM) (COTTO)</t>
  </si>
  <si>
    <t xml:space="preserve">สต๊อร์ปวาล์วทางเดียวCT1701(HM)(COTTO) </t>
  </si>
  <si>
    <t>ทาภายนอกสีน้ำอะคลีลิค100%SHIELD</t>
  </si>
  <si>
    <t>ท่อ IMC 1 1/4" (32mm.)</t>
  </si>
  <si>
    <t>ท่อ EMT 3/4  " (20mm.)</t>
  </si>
  <si>
    <t>ท่อ EMT 1/2  " (15mm.)</t>
  </si>
  <si>
    <t>ท่อ IMC 2 "(50mm.)</t>
  </si>
  <si>
    <t>ท่อ IMC 3 "(80mm.)</t>
  </si>
  <si>
    <t>ประเภทอาคารแฟลต 14 หน่วย</t>
  </si>
  <si>
    <t>มุ้งลวดประตู ป1 0.90x2.00ม.(ชุดป1)</t>
  </si>
  <si>
    <t>MP Panel  Board</t>
  </si>
  <si>
    <t>ป้ายชื่อตัวอักษร</t>
  </si>
  <si>
    <t>เงื่อนไข Factor F ว499</t>
  </si>
  <si>
    <t>- ดอกเบี้ยเงินกู้ 7 %</t>
  </si>
  <si>
    <t xml:space="preserve">LED Lighting Fixture1X14W 6" Downlight </t>
  </si>
  <si>
    <t xml:space="preserve">LED Lighting Fixture1X10W 5" Downlight </t>
  </si>
  <si>
    <t>- วาง Sleeve ท่อและติดตั้งระบบท่อน้ำทิ้ง น้ำเสีย น้ำดีห้องน้ำชั้น 1 แล้วเสร็จ</t>
  </si>
  <si>
    <t>- วางพื้นสำเร็จรูปและเทคอนกรีตทับหน้าพื้นสำเร็จรูปชั้น 1 ทั้งหมดแล้วเสร็จ</t>
  </si>
  <si>
    <t>- วาง Sleeve ท่อและติดตั้งระบบท่อน้ำทิ้ง น้ำเสีย น้ำดีห้องน้ำชั้น 2 แล้วเสร็จ</t>
  </si>
  <si>
    <t>- วาง Sleeve ท่อและติดตั้งระบบท่อน้ำทิ้ง น้ำเสีย น้ำดีห้องน้ำชั้น 3 แล้วเสร็จ</t>
  </si>
  <si>
    <t>- วาง Sleeve ท่อและติดตั้งระบบท่อน้ำทิ้ง น้ำเสีย น้ำดีห้องน้ำชั้น 4 แล้วเสร็จ</t>
  </si>
  <si>
    <t xml:space="preserve">CTS,AMP METER,VOLTMETER,SELECTOR SWITCH INDICATOR LAMP </t>
  </si>
  <si>
    <t>- เดินท่อร้อยสายไฟฟ้า สายไฟฟ้าป้อนดวงโคมไฟฟ้า สวิตช์ไฟฟ้า และเต้ารับ ทั้งหมดแล้วเสร็จ</t>
  </si>
  <si>
    <t>พื้นHOLLOW 10 cm น.น.แบกทาน200กก./ตร.ม</t>
  </si>
  <si>
    <t>WIREMESH 4mm.@0.20 m.#</t>
  </si>
  <si>
    <t>เหล็กกล่อง100x50 หนา 3.2 mm</t>
  </si>
  <si>
    <t>หลังคาเหล็กแผ่นชุบสังกะ+เคลือบสี หนารวม 0.57 มม.</t>
  </si>
  <si>
    <t>C1 ฝ้าแผ่นยิบซั่มบอร์ด 9มม ฉาบรอยต่อเรียบ</t>
  </si>
  <si>
    <t>C2 ฝ้าที-บาร์กรุแผ่นยิบซั่มบอร์ด 9มม.กันชื้น</t>
  </si>
  <si>
    <t>C3 ฝ้าท้องพื้นหล่อในที่ฉาบปูนเรียบ</t>
  </si>
  <si>
    <r>
      <t>F1พื้น คสล.ผิวขัดมันเรียบ</t>
    </r>
    <r>
      <rPr>
        <sz val="11"/>
        <rFont val="TH Niramit AS"/>
      </rPr>
      <t>(รวมคอนกรีต,เหล็กเสริม)</t>
    </r>
  </si>
  <si>
    <t>F2 พื้นปูกระเบื้องหินขัดสำเร็จ</t>
  </si>
  <si>
    <t>F3 พื้น คสล.ผิวปูกระเบื้องเซรามิค 12"x12"</t>
  </si>
  <si>
    <t>F4 พื้นคสล.ผิวขัดเรียบผสมน้ำยากันซึมทำระบบกันซึม</t>
  </si>
  <si>
    <t>ผ3 ผนังอิฐบล็อคช่องลม 9x19x19 ซม.ชนิดโปร่ง</t>
  </si>
  <si>
    <t>ป1AB ประตูเหล็กพับขึ้นรูป บานเปิดเดี่ยววงกบเหล็ก</t>
  </si>
  <si>
    <t>ป2 ประตูเหล็กพับขึ้นรูป บานเปิดเดี่ยววงกบเหล็ก</t>
  </si>
  <si>
    <t>ป3A ประตูเหล็กพับขึ้นรูป บานเปิดเดี่ยววงกบเหล็ก</t>
  </si>
  <si>
    <t>ป4 ประตูเหล็กพับขึ้นรูป บานเปิดเดี่ยววงกบเหล็ก</t>
  </si>
  <si>
    <t>ป5 ประตูเหล็กพับขึ้นรูป บานเปิดเดี่ยววงกบเหล็ก</t>
  </si>
  <si>
    <t>ป6 ประตูเหล็กพับขึ้นรูป บานเปิดเดี่ยว(หนีไฟ)วงกบเหล็ก</t>
  </si>
  <si>
    <t>น1 หน้าต่างบานกระทุ้ง กระจกฝ้า 5มม.วงกบเหล็ก</t>
  </si>
  <si>
    <t>น2 หน้าต่างช่องแสงติดตาย กระจกใส 5 มม.</t>
  </si>
  <si>
    <t>มุ้งลวดหน้าต่างบานเกล็ด 0.75x1.10 ม(ชุดป1)</t>
  </si>
  <si>
    <t>มุ้งลวดประตู ป3 0.80x2.00ม.(ชุดป3)</t>
  </si>
  <si>
    <t>มุ้งลวดหน้าต่างบานเกล็ด 0.70x1.10 ม(ชุดป2)</t>
  </si>
  <si>
    <t>ลวดตะแกรง PVC เบอร์18 ตา 25x25 มม.</t>
  </si>
  <si>
    <t>ครอบสันจั่ว G-400</t>
  </si>
  <si>
    <t xml:space="preserve">ครอบข้าง,ครอบจั่ว ครอบหัวแผ่น Flashing G600 </t>
  </si>
  <si>
    <t>ฝักบัวอาบน้ำ CT9901#SA(HM) (COTTO)</t>
  </si>
  <si>
    <t>ตะแกรงน้ำทิ้งแบบมีที่ดักกลิ่นCT644Z1P(HM) (COTTO)</t>
  </si>
  <si>
    <t>แผ่นเหล็กหัวเสา 4.5 มม.</t>
  </si>
  <si>
    <t>SAGROD SR24  Dai 9 มม.</t>
  </si>
  <si>
    <t>รางน้ำฝนไวนิล ปากกว้าง6"ลึก4"</t>
  </si>
  <si>
    <t>St3พื้นชานพักผิวหินขัดสำเร็จรูป</t>
  </si>
  <si>
    <t>St3ขั้นบันไดผิวหินขัดสำเร็จรูป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</si>
  <si>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</si>
  <si>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สูตรการคำนวณหาค่า  Factor  F</t>
  </si>
  <si>
    <t xml:space="preserve"> F = FH + [F'xH' ]/Xh</t>
  </si>
  <si>
    <t>ใกล้ตนทุนสูง</t>
  </si>
  <si>
    <t xml:space="preserve"> F = FL - [F'xH' ]/Xl</t>
  </si>
  <si>
    <t>ใกล้ตนทุนต่ำ</t>
  </si>
  <si>
    <t>ช่องกรอกค่า</t>
  </si>
  <si>
    <t>กรอกเฉพาะ 5 รายการนี้</t>
  </si>
  <si>
    <t>FH =แฟคเตอร์ของต้นทุนสูง</t>
  </si>
  <si>
    <t>FL =แฟคเตอร์ของต้นทุนต่ำ</t>
  </si>
  <si>
    <t>F' = ผลต่างของ F สูง กับ F ต่ำ</t>
  </si>
  <si>
    <t>M = ต้นทุนค่าวัสดุค่าแรง</t>
  </si>
  <si>
    <t>MH = ค่าต้นทุนสูงตามตาราง</t>
  </si>
  <si>
    <t>ML = ค่าต้นทุนต่ำตามตาราง</t>
  </si>
  <si>
    <t>X' h = ผลต่างค่า  MH - M</t>
  </si>
  <si>
    <t>X' l = ผลต่างค่า   M - ML</t>
  </si>
  <si>
    <t>X  =  ผลต่างต้นทุนสูงกับต้นทุนต่ำ</t>
  </si>
  <si>
    <t>F  ใกล้ตนทุนสูง</t>
  </si>
  <si>
    <t>F  ใกล้ตนทุนต่ำ</t>
  </si>
  <si>
    <t xml:space="preserve">  หมายเหตุ  อัตราดอกเบี้ย 7%</t>
  </si>
  <si>
    <t xml:space="preserve"> กค0433.2/ว499 </t>
  </si>
  <si>
    <t>แผงเกล็ดกันแดดสแตนเลสกล่อง 2"x2",1-1/2"x1-1/2"</t>
  </si>
  <si>
    <t>ท่อPVCชั้น13.5ขนาด Ø2"</t>
  </si>
  <si>
    <t>เผื่อเมนต่อ 32 ม.</t>
  </si>
  <si>
    <t>ถังเก็บน้ำบนดิน วัสดุโพลีเอทิลีน(PE)ขนาดจุ4000 ล.</t>
  </si>
  <si>
    <t>ปั๊มน้ำอัตโนมัติอินเวอร์เตอร์ 400 วัตต์</t>
  </si>
  <si>
    <t>MCB 60AT100AF SP IC 18KA</t>
  </si>
  <si>
    <t>MCB 2P 63AT 63AF 10KA</t>
  </si>
  <si>
    <t>BCB 1P 16AT 63AF  6KA</t>
  </si>
  <si>
    <t>MCCB 3P 60AT 100AF 16KA</t>
  </si>
  <si>
    <t>MCB 3P 32AT 63AF 6KA</t>
  </si>
  <si>
    <t>Linghting Panel Board LP-1L1 - LP-4L4</t>
  </si>
  <si>
    <t>10WAY 1Ø 2W 240V 100A BusBar W/Ground Bar</t>
  </si>
  <si>
    <t>BCB 1P 32AT 63AF 6KA</t>
  </si>
  <si>
    <t>BCB  1P 16AT 63AF 6KA RCD 30mA</t>
  </si>
  <si>
    <t>BCB 1P 32AT 63AF 6KA RCD 30 Ma</t>
  </si>
  <si>
    <t>BARE 50 sq.mm</t>
  </si>
  <si>
    <t>ท่อ PVC 1-1/4"</t>
  </si>
  <si>
    <t xml:space="preserve">กลุ่มมาตรฐานอาคารและสิ่งก่อสร้าง  </t>
  </si>
  <si>
    <t>สำนักอำนวยการ</t>
  </si>
  <si>
    <t>โครงสร้างรับถังเกรอะ-ถงกรอง แบบรวม 4000 ลิตร ชนิดเติมอากาศพร้อมเครื่องอัดอากาศ 2 ชุด</t>
  </si>
  <si>
    <t>เสาเข็มคอนกรีตหกเหลี่ยมกลวง 4"x 4.00ม</t>
  </si>
  <si>
    <t>เหล็ก SR24 Ø 6 มม.</t>
  </si>
  <si>
    <t>ถังดักไขมัน ขนาด 140 ลิตร</t>
  </si>
  <si>
    <t>คอนกรีตหยาบรองก้นฐานราก(คอนกรีตสำเร็จรูป)</t>
  </si>
  <si>
    <t>ฝ้าเพดานทาภายในสีน้ำอะคลีลิค100%SHIELD</t>
  </si>
  <si>
    <t>บ่อ</t>
  </si>
  <si>
    <t>บ่อพัก คสล.สำเร็จรูป ขนาด 0.80x0.80 ม.</t>
  </si>
  <si>
    <t>Master Digital Antenna System (psi master)</t>
  </si>
  <si>
    <t>ถังเกรอะถังกรอง ชนิดเติมอากาศ แบบรวม4000ล.</t>
  </si>
  <si>
    <t>F6 พื้นผิวทรายล้าง เซาะร่องเส้นPVC</t>
  </si>
  <si>
    <t>ผิวพื้น F4 ทำระบบกันซึม</t>
  </si>
  <si>
    <t>- หล่อคอนกรีตเสาชั้น 1 หล่อคานคอนกรีตชั้น 2 หล่อคอนกรีตพื้นS1,S2,S3 ชั้น2 ทั้งหมดแล้วเสร็จ</t>
  </si>
  <si>
    <t>- หล่อคอนกรีตบันไดST1,ST3 ขึ้นชั้น 2 วางพื้นสำเร็จรูปและเทคอนกรีตทับหน้าพื้นสำเร็จรูปชั้น 2 ทั้งหมดแล้วเสร็จ</t>
  </si>
  <si>
    <t>- หล่อคอนกรีตบันไดST1,ST3 ขึ้นชั้น 3 วางพื้นสำเร็จรูปและเทคอนกรีตทับหน้าพื้นสำเร็จรูปชั้น 3 ทั้งหมดแล้วเสร็จ</t>
  </si>
  <si>
    <t>- หล่อคอนกรีตเสาชั้น 2 หล่อคานคอนกรีตชั้น 3 หล่อคอนกรีตพื้นS1,S2,S3 ชั้น3 ทั้งหมดแล้วเสร็จ</t>
  </si>
  <si>
    <t>- หล่อคอนกรีตเสาชั้น 3 หล่อคานคอนกรีตชั้น 4 หล่อคอนกรีตพื้นS1,S2,S3 ชั้น4 ทั้งหมดแล้วเสร็จ</t>
  </si>
  <si>
    <t>- หล่อคอนกรีตบันไดST1,ST3 ขึ้นชั้น 4 วางพื้นสำเร็จรูปและเทคอนกรีตทับหน้าพื้นสำเร็จรูปชั้น 4 ทั้งหมดแล้วเสร็จ</t>
  </si>
  <si>
    <t>- หล่อคอนกรีตเสาชั้น4 หล่อคานคอนกรีตชั้นหลังคา หล่อคอนกรีตพื้นS5 ชั้นหลังคา ทั้งหมดแล้วเสร็จ</t>
  </si>
  <si>
    <t xml:space="preserve">  ชั้น4 และชั้นหลังคา ทั้งหมดแล้วเสร็จ (ยกเว้นช่องท่อและชุดวงกบอลุมิเนียม)</t>
  </si>
  <si>
    <t>- ตกแต่งกรุผิวผนังกระเบื้องเซรามิค ผ2 ห้องน้ำชั้น1,ชั้น2 แล้วเสร็จ</t>
  </si>
  <si>
    <t>- ฉาบปูนตกแต่งฝ้าเพดาน ฝ3 ชั้น3,ชั้น4 ทั้งหมดแล้วเสร็จ</t>
  </si>
  <si>
    <t>- ฉาบปูนตกแต่งฝ้าเพดาน ฝ3 ชั้น1,ชั้น2 ทั้งหมดแล้วเสร็จ</t>
  </si>
  <si>
    <t>- ติดตั้งราวราวกันตกสแตนเลสชั้นถังเก็บน้ำ ราวสแตนเลสบนพนังระเบียง ราวจับทางลาด ทั้งหมดแล้วเสร็จ</t>
  </si>
  <si>
    <t>- ติดตั้งบ่อพัก คสล.สำเร็จรูปและรางระบายน้ำรอบอาคารชั้นล่าง ทั้งหมดแล้วเสร็จ</t>
  </si>
  <si>
    <t>- ตกแต่งผิวพื้นชานพักบันได ขั้นบันไดผิวพื้นหินขัด ชั้น1-ชั้น4 ทั้งหมดแล้วเสร็จ</t>
  </si>
  <si>
    <t>- ตกแต่งผิวพื้นกระเบื้องF3 เฉลียงทางเดินหน้าห้องและโถงบันไดทั้งหมดแล้วเสร็จ</t>
  </si>
  <si>
    <t>- เจาะสำรวจชั้นดิน ปักหมุดวางผังอาคาร ส่งผลการเจาะสำรวจชั้นดิน ทั้งหมดแล้วเสร็จ</t>
  </si>
  <si>
    <t>- หล่อคอนกรีตคานชั้น1 หล่อคอนกรีตพื้นS1,S2,S3,S4 ชั้น1 หล่อคอนกรีตบันไดST2 ขึ้นชั้น 1 ทั้งหมดแล้วเสร็จ</t>
  </si>
  <si>
    <t>- กลบดินฐานราก หล่อคอนกรีตฐานราก หล่อคอนกรีตเสาตอม่อ ทั้งหมดแล้วเสร็จ</t>
  </si>
  <si>
    <t xml:space="preserve">  ชั้น1 ทั้งหมดแล้วเสร็จ (ยกเว้นช่องท่อและชุดวงกบอลูมิเนียม)</t>
  </si>
  <si>
    <t xml:space="preserve">  ชั้น2 ทั้งหมดแล้วเสร็จ (ยกเว้นช่องท่อและชุดวงกบอลุมิเนียม)</t>
  </si>
  <si>
    <t>- ตกแต่งผิวพื้นทางลาด F6 พื้นผิวทรายล้าง เซาะร่องเส้นPVC แล้วเสร็จ</t>
  </si>
  <si>
    <r>
      <t>กำหนดเวลาแล้วเสร็จ</t>
    </r>
    <r>
      <rPr>
        <b/>
        <sz val="14"/>
        <color indexed="10"/>
        <rFont val="TH Niramit AS"/>
      </rPr>
      <t xml:space="preserve">  30</t>
    </r>
    <r>
      <rPr>
        <b/>
        <sz val="14"/>
        <rFont val="TH Niramit AS"/>
      </rPr>
      <t xml:space="preserve"> วัน</t>
    </r>
  </si>
  <si>
    <r>
      <t xml:space="preserve">เป็นเงินร้อยละ </t>
    </r>
    <r>
      <rPr>
        <b/>
        <sz val="14"/>
        <color indexed="10"/>
        <rFont val="TH Niramit AS"/>
      </rPr>
      <t xml:space="preserve">4.00 </t>
    </r>
    <r>
      <rPr>
        <sz val="14"/>
        <rFont val="TH Niramit AS"/>
      </rPr>
      <t>ของค่าจ้างเหมาตามที่ตกลงทำสัญญาว่าจ้าง  จะจ่ายให้เมื่อผู้รับจ้างได้ทำการก่อสร้างดังนี้</t>
    </r>
  </si>
  <si>
    <r>
      <t xml:space="preserve">เป็นเงินร้อยละ </t>
    </r>
    <r>
      <rPr>
        <b/>
        <sz val="14"/>
        <color indexed="10"/>
        <rFont val="TH Niramit AS"/>
      </rPr>
      <t xml:space="preserve">6.00 </t>
    </r>
    <r>
      <rPr>
        <sz val="14"/>
        <rFont val="TH Niramit AS"/>
      </rPr>
      <t>ของค่าจ้างเหมาตามที่ตกลงทำสัญญาว่าจ้าง  จะจ่ายให้เมื่อผู้รับจ้างได้ทำการก่อสร้างดังนี้</t>
    </r>
  </si>
  <si>
    <t>ราวสแตนเลส Ø2-1/2", Ø1-1/2" หนา 1.2 มม.บนพนังระเบีย,เฉลียง</t>
  </si>
  <si>
    <t>METER 1/2"</t>
  </si>
  <si>
    <t>ท่อPVCชั้น 8.5ขนาด Ø2"</t>
  </si>
  <si>
    <t>ท่อPVCชั้น13.5ขนาด Ø1-1/2"</t>
  </si>
  <si>
    <t>ประตูน้ำ GATE VALVE 2"</t>
  </si>
  <si>
    <t>ประตูน้ำ GATE VALVE 1-1/2"</t>
  </si>
  <si>
    <t>CHECK VALVE 1-1/2"</t>
  </si>
  <si>
    <t>CHECK VALVE 2"</t>
  </si>
  <si>
    <t>FLOOR DRAIN 2"</t>
  </si>
  <si>
    <t>ท่อPVCชั้น 8.5ขนาด Ø1"</t>
  </si>
  <si>
    <t>- ติดตั้งไม้เชิงชาย ไม้ปิดลอนหลังคา ติดตั้งรางน้ำฝนไวนิล ทั้งหมดแล้วเสร็จ</t>
  </si>
  <si>
    <t>St1ราวบันไดสแตนเลส Ø2 1/2" 1.2 mm.,1 1/2" 1.2 mm.</t>
  </si>
  <si>
    <t>St3ราวบันไดสแตนเลส Ø1-1/2" 1.2 mm,3/4" 1.2 mm</t>
  </si>
  <si>
    <t>ราวกันตกเหล็ก Ø2-1/2",1-1/2" ชั้นถังเก็บน้ำ</t>
  </si>
  <si>
    <t>เจ้าของอาคาร สำนักงานคณะกรรมการการอาชีวศึกษา</t>
  </si>
  <si>
    <r>
      <t xml:space="preserve">เป็นเงินร้อยละ </t>
    </r>
    <r>
      <rPr>
        <b/>
        <sz val="14"/>
        <color indexed="10"/>
        <rFont val="TH Niramit AS"/>
      </rPr>
      <t xml:space="preserve">10.00 </t>
    </r>
    <r>
      <rPr>
        <sz val="14"/>
        <rFont val="TH Niramit AS"/>
      </rPr>
      <t>ของค่าจ้างเหมาตามที่ตกลงทำสัญญาว่าจ้าง  จะจ่ายให้เมื่อผู้รับจ้างได้ทำการก่อสร้างดังนี้</t>
    </r>
  </si>
  <si>
    <t>- ติดตั้งฉนวนกันความร้อนใต้หลังคา มุงหลังคาเหล็กแผ่น และส่วนประกอบต่างๆของงานหลังคาแล้วเสร็จ</t>
  </si>
  <si>
    <t xml:space="preserve">- ก่ออิฐผนัง ติดตั้งวงกบประตูหน้าต่างเหล็ก พร้อมหล่อคอนกรีตเสาเอ็นและเอ็นทับหลัง ค.ส.ล.ช่องท่อ ทั้งหมดแล้วเสร็จ </t>
  </si>
  <si>
    <t>- ฉาบปูนผนังและฉาบปูนโครงสร้างภายในภายนอกอาคารชั้น1,ชั้น2 ทั้งหมดแล้วเสร็จ</t>
  </si>
  <si>
    <t>- ตกแต่งปูพื้นกระเบื้อง F3 พื้นระเบียง พื้นเฉลียงทางเดิน ชั้น1,ชั้น2 ทั้งหมดแล้วเสร็จ</t>
  </si>
  <si>
    <t>- ติดตั้งถังดับเพลิง ติดตั้งป้ายบอกทางหนีไฟ ติดตั้งไฟฉุกเฉิน ทั้งหมดแล้วเสร็จ</t>
  </si>
  <si>
    <t>การแบ่งงวดงาน  การจ่ายเงิน  กำหนดเวลาแล้วเสร็จ</t>
  </si>
  <si>
    <t>- ติดตั้งโครงหลังคาเหล็ก แปรเหล็ก ทาสีกันสนิมและสีน้ำมันโครงหลังคาเหล็ก แล้วเสร็จ</t>
  </si>
  <si>
    <t xml:space="preserve">  ชั้น3 ทั้งหมดแล้วเสร็จ (ยกเว้นช่องท่อและชุดวงกบอลุมิเนียม)</t>
  </si>
  <si>
    <t>- ฉาบปูนผนังและฉาบปูนโครงสร้างภายในอาคาร ชั้น1,ชั้น2 ทั้งหมดแล้วเสร็จ</t>
  </si>
  <si>
    <t>- ติดตั้งถังเก็บน้ำชั้นบนหลังคา แล้วเสร็จ</t>
  </si>
  <si>
    <t>- ตกแต่งผิวพื้นผิวขัดเรียบผสมน้ำยากันซึมและระบบกันซึม F4 ชั้นหลังคา แล้วเสร็จ</t>
  </si>
  <si>
    <t>- ฉาบปูนผนังและฉาบปูนโครงสร้างภายในภายนอกอาคารชั้น3,ชั้น4และชั้นหลังคาทั้งหมดแล้วเสร็จ</t>
  </si>
  <si>
    <t>- ตกแต่งผิวพื้นกระเบื้อง F3 ส่วนซักล้างและห้องน้ำชั้น3,ชั้น4 ทั้งหมดแล้วเสร็จ</t>
  </si>
  <si>
    <t>- ตกแต่งกรุผิวผนังกระเบื้องเซรามิค ผ2 ห้องน้ำชั้น3,ชั้น4 แล้วเสร็จ</t>
  </si>
  <si>
    <t>- ปูแผ่นหินขัดสำเร็จรูป F2 พื้นภายในห้องพักและพื้นโถงอเนกประสงค์ชั้น3,ชั้น4 ทั้งหมดแล้วเสร็จ</t>
  </si>
  <si>
    <t>- ตกแต่งผิวพื้นกระเบื้องF3พื้นระเบียงโถงอเนกประสงค์และเฉลียงทางเดินชั้น3,ชั้น4 ทั้งหมดแล้วเสร็จ</t>
  </si>
  <si>
    <t>- ก่อผนังอิฐบล็อคช่องลมชั้น3,ชั้น4 ,ติดตั้งบันไดเหล็กขึ้นชั้นวางถังน้ำทั้งหมดแล้วเสร็จ</t>
  </si>
  <si>
    <t>- ติดตั้งเครื่องปั๊มน้ำ พร้อมตู้ควบคุมระบบน้ำ  ติดตั้งบ่อเกรอะ บ่อซึม ทั้งหมดแล้วเสร็จ</t>
  </si>
  <si>
    <t>- ติดตั้งแผงกันแดดสแตนเลส, ติดตั้งถังเก็บน้ำชั้นล่างและเชื่อมต่อท่อถังเก็บน้ำชั้นหลังคา ทั้งหมดแล้วเสร็จ</t>
  </si>
  <si>
    <t>- ติดตั้งบานประตู หน้าต่าง พร้อมอุปกรณ์ประตูหน้าต่าง กระจก(ยกเว้นมุ้งลวด) ทั้งหมดแล้วเสร็จ</t>
  </si>
  <si>
    <t>- ตกแต่งผิวพื้นกระเบื้องF3 ส่วนซักล้างและห้องน้ำชั้น1,ชั้น2 ทั้งหมดแล้วเสร็จ</t>
  </si>
  <si>
    <t>- ปูแผ่นหินขัดสำเร็จรูป F2 พื้นภายในห้องพักและโถงอเนกประสงค์ชั้น1,ชั้น2 ทั้งหมดแล้วเสร็จ</t>
  </si>
  <si>
    <t>- ก่อผนังอิฐบล็อคช่องลมชั้น2 ,ติดตั้งราวบันไดราวบันไดสแตนเลส ทั้งหมดแล้วเสร็จ</t>
  </si>
  <si>
    <t xml:space="preserve">- ติดตั้งตู้ควบคุมไฟฟ้าตู้ MDB ตู้มิเตอร์ไฟฟ้า แผงสวิทช์ LP-1L1-4L1 ติดตั้งสายเมนและท่อร้อยสายไฟฟ้าทั้งหมดแล้วเสร็จ </t>
  </si>
  <si>
    <t>- ติดตั้งตกแต่งฝ้าเพดาน ฝ1,ฝ2 ทั้งหมดแล้วเสร็จ</t>
  </si>
  <si>
    <t xml:space="preserve">- ติดตั้งสุขภัณฑ์ห้องน้ำทั้งหมดแล้วเสร็จ </t>
  </si>
  <si>
    <r>
      <t>หมายเหตุ</t>
    </r>
    <r>
      <rPr>
        <sz val="14"/>
        <rFont val="TH Niramit AS"/>
      </rPr>
      <t xml:space="preserve">  กำหนดระยะเวลาแล้วเสร็จทั้งหมด 365 วัน</t>
    </r>
  </si>
  <si>
    <t>(คิดใช้12x24")</t>
  </si>
  <si>
    <t>ประตูน้ำ GATE VALVE 1/2"</t>
  </si>
  <si>
    <t>ROOFE FLOOR DRAIN 4"แบบสวม</t>
  </si>
  <si>
    <t>FLOOR DRAIN  4"</t>
  </si>
  <si>
    <t>FLOOR DRAIN  3"</t>
  </si>
  <si>
    <t>FLOOR CLEANOUT  4"</t>
  </si>
  <si>
    <t>FLOOR CLEANOUT  3"</t>
  </si>
  <si>
    <t>ลูกลอยตัดน้ำอัตโนมัติ ลูกลอยสแตนเลส 2"</t>
  </si>
  <si>
    <t xml:space="preserve">FLOAT SWITCH - FLOAT VALE </t>
  </si>
  <si>
    <t>METER 2"</t>
  </si>
  <si>
    <t>ท่อ BSM ขนาด 2"</t>
  </si>
  <si>
    <t>ถังเก็บน้ำบนหลังคา วัสดุโพเอทิลีนขนาด1000ล.</t>
  </si>
  <si>
    <t>ตัดหัวเสาเข็ม Ø0.60</t>
  </si>
  <si>
    <t>Seismic integrity test</t>
  </si>
  <si>
    <t xml:space="preserve">Dynamic test </t>
  </si>
  <si>
    <t>ผ2 ผนังกรุกระเบื้องเซรามิค 12"x12"</t>
  </si>
  <si>
    <t>ท่อน้ำฝน pvc 8.5 Ø4" 10 จุด</t>
  </si>
  <si>
    <t>รางระบายน้ำรอบอาคารชั้นล่าง</t>
  </si>
  <si>
    <t>MCB 60AT100AF 3P IC 18KA</t>
  </si>
  <si>
    <t xml:space="preserve">Linghting Panel Board LP-gL1 </t>
  </si>
  <si>
    <t>12WAY  3Ø 4W 240V 125A BusBar Panel</t>
  </si>
  <si>
    <t>การก่อสร้างอาคารแฟลต 14 หน่วย  1 หลัง (แบบเสาเข็มเจาะ 21.00เมตร)</t>
  </si>
  <si>
    <t>- เจาะ หล่อเสาเข็ม ทดสอบความสมบูณร์ของเสาเข็ม ทดสอบการรับน้ำหนักของเสาเข็ม ทั้งหมดแล้วเสร็จ</t>
  </si>
  <si>
    <r>
      <t xml:space="preserve">เป็นเงินร้อยละ </t>
    </r>
    <r>
      <rPr>
        <b/>
        <sz val="14"/>
        <color indexed="10"/>
        <rFont val="TH Niramit AS"/>
      </rPr>
      <t>15.00</t>
    </r>
    <r>
      <rPr>
        <sz val="14"/>
        <rFont val="TH Niramit AS"/>
      </rPr>
      <t>ของค่าจ้างเหมาตามที่ตกลงทำสัญญาว่าจ้าง  จะจ่ายให้เมื่อผู้รับจ้างได้ทำการก่อสร้างดังนี้</t>
    </r>
  </si>
  <si>
    <r>
      <t xml:space="preserve">  กำหนดเวลาแล้วเสร็จ  </t>
    </r>
    <r>
      <rPr>
        <b/>
        <sz val="14"/>
        <color indexed="10"/>
        <rFont val="TH Niramit AS"/>
      </rPr>
      <t>45</t>
    </r>
    <r>
      <rPr>
        <b/>
        <sz val="14"/>
        <rFont val="TH Niramit AS"/>
      </rPr>
      <t xml:space="preserve"> วัน</t>
    </r>
  </si>
  <si>
    <r>
      <t xml:space="preserve">เป็นเงินร้อยละ </t>
    </r>
    <r>
      <rPr>
        <b/>
        <sz val="14"/>
        <color indexed="10"/>
        <rFont val="TH Niramit AS"/>
      </rPr>
      <t xml:space="preserve">8.00 </t>
    </r>
    <r>
      <rPr>
        <sz val="14"/>
        <rFont val="TH Niramit AS"/>
      </rPr>
      <t>ของค่าจ้างเหมาตามที่ตกลงทำสัญญาว่าจ้าง  จะจ่ายให้เมื่อผู้รับจ้างได้ทำการก่อสร้างดังนี้</t>
    </r>
  </si>
  <si>
    <r>
      <t xml:space="preserve">เป็นเงินร้อยละ </t>
    </r>
    <r>
      <rPr>
        <b/>
        <sz val="14"/>
        <color indexed="10"/>
        <rFont val="TH Niramit AS"/>
      </rPr>
      <t xml:space="preserve">9.00 </t>
    </r>
    <r>
      <rPr>
        <sz val="14"/>
        <rFont val="TH Niramit AS"/>
      </rPr>
      <t>ของค่าจ้างเหมาตามที่ตกลงทำสัญญาว่าจ้าง  จะจ่ายให้เมื่อผู้รับจ้างได้ทำการก่อสร้างดังนี้</t>
    </r>
  </si>
  <si>
    <r>
      <t xml:space="preserve">เป็นเงินร้อยละ </t>
    </r>
    <r>
      <rPr>
        <b/>
        <sz val="14"/>
        <color indexed="10"/>
        <rFont val="TH Niramit AS"/>
      </rPr>
      <t xml:space="preserve">18.00 </t>
    </r>
    <r>
      <rPr>
        <sz val="14"/>
        <rFont val="TH Niramit AS"/>
      </rPr>
      <t>ของค่าจ้างเหมาตามที่ตกลงทำสัญญาว่าจ้าง  จะจ่ายให้เมื่อผู้รับจ้างได้ทำการก่อสร้างดังนี้</t>
    </r>
  </si>
  <si>
    <t>คอนกรีตโครงสร้าง (คอนกรีตสำเร็จรูป 240 ksc. cube)</t>
  </si>
  <si>
    <t>สีกันสนิม 1 เที่ยวและสีน้ำมัน 2 เที่ยว</t>
  </si>
  <si>
    <t>ทาภายในสีน้ำอะคลีลิค100%SHIELD กึ่งเงา</t>
  </si>
  <si>
    <t>คณะกรรมการกำหนดราคากลางงานก่อสร้าง</t>
  </si>
  <si>
    <t>ประธานกรรมการ</t>
  </si>
  <si>
    <t>ลงนาม............................................</t>
  </si>
  <si>
    <t>กรรมการ</t>
  </si>
  <si>
    <t>กรรมการและเลขานุการ</t>
  </si>
  <si>
    <r>
      <t xml:space="preserve">สถานที่ก่อสร้าง </t>
    </r>
    <r>
      <rPr>
        <b/>
        <sz val="14"/>
        <rFont val="TH Niramit AS"/>
      </rPr>
      <t>วิทยาลัยการอาชีพบ้านไผ่</t>
    </r>
  </si>
  <si>
    <t>วันที่ 16 ธันวาคม  2567</t>
  </si>
  <si>
    <t>*** ราคาวัสดุเดือนพฤศจิกายน 2567</t>
  </si>
  <si>
    <r>
      <t xml:space="preserve">ประมาณราคาค่าก่อสร้าง  </t>
    </r>
    <r>
      <rPr>
        <b/>
        <sz val="14"/>
        <rFont val="TH Niramit AS"/>
      </rPr>
      <t>อาคารแฟลต 14 หน่วย</t>
    </r>
  </si>
  <si>
    <r>
      <t xml:space="preserve">ประมาณราคาค่าก่อสร้าง </t>
    </r>
    <r>
      <rPr>
        <b/>
        <sz val="12"/>
        <rFont val="TH Niramit AS"/>
      </rPr>
      <t>คณะกรรมการกำหนดราคากลางงานก่อสร้าง</t>
    </r>
  </si>
  <si>
    <r>
      <t xml:space="preserve">สถานที่ก่อสร้าง  </t>
    </r>
    <r>
      <rPr>
        <b/>
        <sz val="14"/>
        <rFont val="TH Niramit AS"/>
      </rPr>
      <t xml:space="preserve"> วิทยาลัยการอาชีพบ้านไผ่</t>
    </r>
  </si>
  <si>
    <t>ขนาดหรือพื้นที่ใช้สอยอาคาร  จำนวน 757.49 ตารางเมตร</t>
  </si>
  <si>
    <t>1.  นางสาวปุณณภัสสร ศรีแก้ว</t>
  </si>
  <si>
    <t>5)  นางสาวชญาน์พันธ์  พยอมใหม่</t>
  </si>
  <si>
    <t>4)  นายวีรชาติ  จัตวากุล</t>
  </si>
  <si>
    <t>3.  นายคมราช งาคม</t>
  </si>
  <si>
    <t>2.  นายนิธิศักดิ์ ภาษิตชาคริต</t>
  </si>
  <si>
    <t>ไม้แบบ(คิดใช้งาน50%)</t>
  </si>
  <si>
    <t>ค่าแรงไม้แบบ(100%)</t>
  </si>
  <si>
    <t>ไม้เคร่า(30%ของไม้แบบ)</t>
  </si>
  <si>
    <t>ไม้ค้ำยัน(30%ของจำนวนทั้งหมด)</t>
  </si>
  <si>
    <t>ประมาณราคาเมื่อวันที่  16 เดือนธันวาคม พ.ศ. 2567</t>
  </si>
  <si>
    <r>
      <rPr>
        <b/>
        <sz val="14"/>
        <rFont val="TH Niramit AS"/>
      </rPr>
      <t xml:space="preserve">แบบเลขที่ 68KB01 ฐานรากเสาเข็มเจาะ  </t>
    </r>
    <r>
      <rPr>
        <sz val="14"/>
        <rFont val="TH Niramit AS"/>
      </rPr>
      <t>แบบประมาณราคา ปร.4  จำนวน 10 แผ่น</t>
    </r>
  </si>
  <si>
    <t>A</t>
  </si>
  <si>
    <t>B</t>
  </si>
  <si>
    <t>C</t>
  </si>
  <si>
    <t>D</t>
  </si>
  <si>
    <t>E</t>
  </si>
  <si>
    <t>เข็มเจาะ Ø0.60xยาว 12.00</t>
  </si>
  <si>
    <t>แบบเลขที่ 68KB01 ฐานรากเสาเข็มเจาะ 12.00 เมตร</t>
  </si>
  <si>
    <t>ราวจับสแตนเลส Ø1-1/2",3/4" ทางลาด</t>
  </si>
  <si>
    <t>บันไดขึ้นชั้นวางถังน้ำเหล็ก Ø1-1/2",1" สูง 3.60 ม</t>
  </si>
  <si>
    <t xml:space="preserve"> 14,824.04 บาท/ตารางเมตร (ไม่รวม Factor F.)</t>
  </si>
  <si>
    <t>ของ  วิทยาลัย………การอาชีพบ้านไผ่……………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</si>
</sst>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0.0"/>
    <numFmt numFmtId="190" formatCode="0.0000"/>
    <numFmt numFmtId="191" formatCode="_-* #,##0.0_-;\-* #,##0.0_-;_-* &quot;-&quot;??_-;_-@_-"/>
    <numFmt numFmtId="192" formatCode="#,##0.0"/>
    <numFmt numFmtId="193" formatCode="0.0000000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CordiaUPC"/>
      <family val="2"/>
      <charset val="22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u/>
      <sz val="14"/>
      <name val="TH Niramit AS"/>
    </font>
    <font>
      <sz val="14"/>
      <name val="TH Niramit AS"/>
    </font>
    <font>
      <sz val="12"/>
      <name val="TH Niramit AS"/>
    </font>
    <font>
      <b/>
      <sz val="14"/>
      <name val="TH Niramit AS"/>
    </font>
    <font>
      <sz val="14"/>
      <color rgb="FFFF0000"/>
      <name val="TH Niramit AS"/>
    </font>
    <font>
      <sz val="14"/>
      <color indexed="10"/>
      <name val="TH Niramit AS"/>
    </font>
    <font>
      <sz val="14"/>
      <color rgb="FF00B050"/>
      <name val="TH Niramit AS"/>
    </font>
    <font>
      <sz val="14"/>
      <color theme="0"/>
      <name val="TH Niramit AS"/>
    </font>
    <font>
      <b/>
      <sz val="14"/>
      <color indexed="10"/>
      <name val="TH Niramit AS"/>
    </font>
    <font>
      <b/>
      <sz val="14"/>
      <color rgb="FF0070C0"/>
      <name val="TH Niramit AS"/>
    </font>
    <font>
      <sz val="10"/>
      <name val="TH Niramit AS"/>
    </font>
    <font>
      <b/>
      <sz val="14"/>
      <color rgb="FF00B050"/>
      <name val="TH Niramit AS"/>
    </font>
    <font>
      <b/>
      <sz val="14"/>
      <color indexed="11"/>
      <name val="TH Niramit AS"/>
    </font>
    <font>
      <sz val="11"/>
      <name val="TH Niramit AS"/>
    </font>
    <font>
      <sz val="13"/>
      <name val="TH Niramit AS"/>
    </font>
    <font>
      <sz val="10"/>
      <color rgb="FFFF0000"/>
      <name val="TH Niramit AS"/>
    </font>
    <font>
      <b/>
      <sz val="16"/>
      <name val="TH Niramit AS"/>
    </font>
    <font>
      <b/>
      <sz val="10"/>
      <color rgb="FF0070C0"/>
      <name val="TH Niramit AS"/>
    </font>
    <font>
      <b/>
      <sz val="12"/>
      <name val="TH Niramit AS"/>
    </font>
    <font>
      <sz val="12"/>
      <color rgb="FFFFFFFF"/>
      <name val="TH Niramit AS"/>
    </font>
    <font>
      <sz val="14"/>
      <name val="TH SarabunPSK"/>
      <family val="2"/>
      <charset val="222"/>
    </font>
    <font>
      <sz val="14"/>
      <color rgb="FFED0000"/>
      <name val="TH Niramit AS"/>
    </font>
    <font>
      <sz val="14"/>
      <color rgb="FFED0000"/>
      <name val="TH SarabunPSK"/>
      <family val="2"/>
      <charset val="222"/>
    </font>
    <font>
      <sz val="14"/>
      <color rgb="FFFFFFFF"/>
      <name val="TH Niramit AS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1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191" fontId="2" fillId="0" borderId="0" applyFont="0" applyFill="0" applyBorder="0" applyAlignment="0" applyProtection="0"/>
    <xf numFmtId="0" fontId="2" fillId="0" borderId="0"/>
    <xf numFmtId="0" fontId="4" fillId="0" borderId="0" applyFill="0"/>
  </cellStyleXfs>
  <cellXfs count="210">
    <xf numFmtId="0" fontId="0" fillId="0" borderId="0" xfId="0"/>
    <xf numFmtId="0" fontId="7" fillId="0" borderId="14" xfId="0" applyFont="1" applyBorder="1" applyAlignment="1">
      <alignment horizontal="left" vertical="center"/>
    </xf>
    <xf numFmtId="0" fontId="8" fillId="0" borderId="14" xfId="0" quotePrefix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0" fontId="8" fillId="0" borderId="4" xfId="0" applyFont="1" applyBorder="1" applyAlignment="1">
      <alignment vertical="center"/>
    </xf>
    <xf numFmtId="4" fontId="8" fillId="0" borderId="5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4" fontId="8" fillId="0" borderId="14" xfId="0" applyNumberFormat="1" applyFont="1" applyBorder="1" applyAlignment="1">
      <alignment horizontal="right" vertical="center"/>
    </xf>
    <xf numFmtId="2" fontId="8" fillId="0" borderId="14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4" fontId="8" fillId="0" borderId="14" xfId="1" applyNumberFormat="1" applyFont="1" applyBorder="1" applyAlignment="1">
      <alignment horizontal="right" vertical="center"/>
    </xf>
    <xf numFmtId="0" fontId="8" fillId="0" borderId="16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right" vertical="center"/>
    </xf>
    <xf numFmtId="2" fontId="8" fillId="3" borderId="1" xfId="0" applyNumberFormat="1" applyFont="1" applyFill="1" applyBorder="1" applyAlignment="1">
      <alignment horizontal="center" vertical="center"/>
    </xf>
    <xf numFmtId="0" fontId="8" fillId="0" borderId="14" xfId="1" applyNumberFormat="1" applyFont="1" applyBorder="1" applyAlignment="1">
      <alignment horizontal="right" vertical="center"/>
    </xf>
    <xf numFmtId="187" fontId="8" fillId="0" borderId="14" xfId="1" applyFont="1" applyBorder="1" applyAlignment="1">
      <alignment horizontal="center" vertical="center"/>
    </xf>
    <xf numFmtId="4" fontId="10" fillId="0" borderId="14" xfId="1" applyNumberFormat="1" applyFont="1" applyBorder="1" applyAlignment="1">
      <alignment horizontal="right" vertical="center"/>
    </xf>
    <xf numFmtId="2" fontId="8" fillId="0" borderId="14" xfId="1" applyNumberFormat="1" applyFont="1" applyBorder="1" applyAlignment="1">
      <alignment horizontal="right" vertical="center"/>
    </xf>
    <xf numFmtId="3" fontId="8" fillId="0" borderId="14" xfId="1" applyNumberFormat="1" applyFont="1" applyBorder="1" applyAlignment="1">
      <alignment horizontal="right" vertical="center"/>
    </xf>
    <xf numFmtId="4" fontId="8" fillId="4" borderId="14" xfId="1" applyNumberFormat="1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0" borderId="14" xfId="4" applyFont="1" applyBorder="1" applyAlignment="1">
      <alignment horizontal="left" vertical="center"/>
    </xf>
    <xf numFmtId="0" fontId="8" fillId="0" borderId="14" xfId="4" applyFont="1" applyBorder="1" applyAlignment="1">
      <alignment horizontal="center" vertical="center"/>
    </xf>
    <xf numFmtId="187" fontId="8" fillId="0" borderId="14" xfId="1" applyFont="1" applyBorder="1" applyAlignment="1">
      <alignment horizontal="right" vertical="center"/>
    </xf>
    <xf numFmtId="2" fontId="8" fillId="0" borderId="14" xfId="1" applyNumberFormat="1" applyFont="1" applyBorder="1" applyAlignment="1">
      <alignment vertical="center"/>
    </xf>
    <xf numFmtId="2" fontId="8" fillId="0" borderId="14" xfId="4" applyNumberFormat="1" applyFont="1" applyBorder="1" applyAlignment="1">
      <alignment horizontal="center" vertical="center"/>
    </xf>
    <xf numFmtId="0" fontId="8" fillId="0" borderId="14" xfId="4" applyFont="1" applyBorder="1" applyAlignment="1">
      <alignment vertical="center"/>
    </xf>
    <xf numFmtId="0" fontId="8" fillId="0" borderId="16" xfId="0" quotePrefix="1" applyFont="1" applyBorder="1" applyAlignment="1">
      <alignment horizontal="left" vertical="center"/>
    </xf>
    <xf numFmtId="0" fontId="8" fillId="0" borderId="15" xfId="0" quotePrefix="1" applyFont="1" applyBorder="1" applyAlignment="1">
      <alignment vertical="center"/>
    </xf>
    <xf numFmtId="0" fontId="8" fillId="5" borderId="19" xfId="0" applyFont="1" applyFill="1" applyBorder="1" applyAlignment="1">
      <alignment horizontal="center" vertical="center"/>
    </xf>
    <xf numFmtId="0" fontId="8" fillId="0" borderId="10" xfId="0" quotePrefix="1" applyFont="1" applyBorder="1" applyAlignment="1">
      <alignment horizontal="left" vertical="center"/>
    </xf>
    <xf numFmtId="0" fontId="8" fillId="0" borderId="8" xfId="0" quotePrefix="1" applyFont="1" applyBorder="1" applyAlignment="1">
      <alignment horizontal="left" vertical="center"/>
    </xf>
    <xf numFmtId="188" fontId="8" fillId="0" borderId="14" xfId="1" applyNumberFormat="1" applyFont="1" applyBorder="1" applyAlignment="1">
      <alignment vertical="center"/>
    </xf>
    <xf numFmtId="0" fontId="8" fillId="0" borderId="14" xfId="3" applyFont="1" applyBorder="1" applyAlignment="1">
      <alignment horizontal="left" vertical="center"/>
    </xf>
    <xf numFmtId="0" fontId="8" fillId="5" borderId="1" xfId="0" applyFont="1" applyFill="1" applyBorder="1" applyAlignment="1">
      <alignment vertical="center"/>
    </xf>
    <xf numFmtId="49" fontId="8" fillId="0" borderId="14" xfId="1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87" fontId="8" fillId="3" borderId="1" xfId="1" applyFont="1" applyFill="1" applyBorder="1" applyAlignment="1">
      <alignment horizontal="center" vertical="center"/>
    </xf>
    <xf numFmtId="4" fontId="8" fillId="3" borderId="1" xfId="1" applyNumberFormat="1" applyFont="1" applyFill="1" applyBorder="1" applyAlignment="1">
      <alignment horizontal="right" vertical="center"/>
    </xf>
    <xf numFmtId="187" fontId="8" fillId="0" borderId="5" xfId="1" applyFont="1" applyFill="1" applyBorder="1" applyAlignment="1">
      <alignment horizontal="center" vertical="center"/>
    </xf>
    <xf numFmtId="4" fontId="8" fillId="0" borderId="5" xfId="1" applyNumberFormat="1" applyFont="1" applyFill="1" applyBorder="1" applyAlignment="1">
      <alignment horizontal="right" vertical="center"/>
    </xf>
    <xf numFmtId="187" fontId="8" fillId="3" borderId="19" xfId="1" applyFont="1" applyFill="1" applyBorder="1" applyAlignment="1">
      <alignment horizontal="center" vertical="center"/>
    </xf>
    <xf numFmtId="4" fontId="8" fillId="3" borderId="19" xfId="1" applyNumberFormat="1" applyFont="1" applyFill="1" applyBorder="1" applyAlignment="1">
      <alignment horizontal="right" vertical="center"/>
    </xf>
    <xf numFmtId="0" fontId="8" fillId="0" borderId="17" xfId="0" applyFont="1" applyBorder="1" applyAlignment="1">
      <alignment horizontal="center" vertical="center"/>
    </xf>
    <xf numFmtId="187" fontId="8" fillId="0" borderId="17" xfId="1" applyFont="1" applyFill="1" applyBorder="1" applyAlignment="1">
      <alignment horizontal="center" vertical="center"/>
    </xf>
    <xf numFmtId="4" fontId="8" fillId="0" borderId="17" xfId="1" applyNumberFormat="1" applyFont="1" applyFill="1" applyBorder="1" applyAlignment="1">
      <alignment horizontal="right" vertical="center"/>
    </xf>
    <xf numFmtId="188" fontId="8" fillId="0" borderId="14" xfId="1" applyNumberFormat="1" applyFont="1" applyBorder="1" applyAlignment="1">
      <alignment horizontal="center" vertical="center"/>
    </xf>
    <xf numFmtId="4" fontId="8" fillId="0" borderId="14" xfId="2" applyNumberFormat="1" applyFont="1" applyBorder="1" applyAlignment="1">
      <alignment horizontal="right" vertical="center"/>
    </xf>
    <xf numFmtId="4" fontId="8" fillId="0" borderId="14" xfId="1" applyNumberFormat="1" applyFont="1" applyBorder="1" applyAlignment="1">
      <alignment horizontal="center" vertical="center"/>
    </xf>
    <xf numFmtId="4" fontId="8" fillId="0" borderId="14" xfId="1" applyNumberFormat="1" applyFont="1" applyFill="1" applyBorder="1" applyAlignment="1">
      <alignment horizontal="center" vertical="center"/>
    </xf>
    <xf numFmtId="188" fontId="8" fillId="5" borderId="19" xfId="1" applyNumberFormat="1" applyFont="1" applyFill="1" applyBorder="1" applyAlignment="1">
      <alignment horizontal="center" vertical="center"/>
    </xf>
    <xf numFmtId="187" fontId="8" fillId="5" borderId="19" xfId="1" applyFont="1" applyFill="1" applyBorder="1" applyAlignment="1">
      <alignment horizontal="center" vertical="center"/>
    </xf>
    <xf numFmtId="4" fontId="8" fillId="5" borderId="19" xfId="1" applyNumberFormat="1" applyFont="1" applyFill="1" applyBorder="1" applyAlignment="1">
      <alignment horizontal="right" vertical="center"/>
    </xf>
    <xf numFmtId="188" fontId="8" fillId="0" borderId="2" xfId="1" applyNumberFormat="1" applyFont="1" applyBorder="1" applyAlignment="1">
      <alignment horizontal="center" vertical="center"/>
    </xf>
    <xf numFmtId="187" fontId="8" fillId="0" borderId="2" xfId="1" applyFont="1" applyBorder="1" applyAlignment="1">
      <alignment horizontal="center" vertical="center"/>
    </xf>
    <xf numFmtId="4" fontId="8" fillId="0" borderId="2" xfId="1" applyNumberFormat="1" applyFont="1" applyBorder="1" applyAlignment="1">
      <alignment horizontal="right" vertical="center"/>
    </xf>
    <xf numFmtId="188" fontId="8" fillId="0" borderId="17" xfId="1" applyNumberFormat="1" applyFont="1" applyBorder="1" applyAlignment="1">
      <alignment horizontal="center" vertical="center"/>
    </xf>
    <xf numFmtId="187" fontId="8" fillId="0" borderId="17" xfId="1" applyFont="1" applyBorder="1" applyAlignment="1">
      <alignment horizontal="center" vertical="center"/>
    </xf>
    <xf numFmtId="4" fontId="8" fillId="0" borderId="17" xfId="1" applyNumberFormat="1" applyFont="1" applyBorder="1" applyAlignment="1">
      <alignment horizontal="right" vertical="center"/>
    </xf>
    <xf numFmtId="188" fontId="8" fillId="0" borderId="14" xfId="2" applyNumberFormat="1" applyFont="1" applyBorder="1" applyAlignment="1">
      <alignment horizontal="center" vertical="center"/>
    </xf>
    <xf numFmtId="187" fontId="8" fillId="5" borderId="1" xfId="1" applyFont="1" applyFill="1" applyBorder="1" applyAlignment="1">
      <alignment horizontal="center" vertical="center"/>
    </xf>
    <xf numFmtId="4" fontId="8" fillId="5" borderId="1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190" fontId="8" fillId="0" borderId="6" xfId="0" applyNumberFormat="1" applyFont="1" applyBorder="1" applyAlignment="1">
      <alignment horizontal="center" vertical="center"/>
    </xf>
    <xf numFmtId="4" fontId="8" fillId="0" borderId="14" xfId="1" applyNumberFormat="1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10" fillId="0" borderId="1" xfId="1" applyNumberFormat="1" applyFont="1" applyBorder="1" applyAlignment="1">
      <alignment horizontal="right" vertical="center"/>
    </xf>
    <xf numFmtId="2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187" fontId="8" fillId="0" borderId="0" xfId="0" applyNumberFormat="1" applyFont="1" applyAlignment="1">
      <alignment vertical="center"/>
    </xf>
    <xf numFmtId="4" fontId="8" fillId="0" borderId="0" xfId="1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center" vertical="center"/>
    </xf>
    <xf numFmtId="187" fontId="8" fillId="0" borderId="14" xfId="1" applyFont="1" applyFill="1" applyBorder="1" applyAlignment="1">
      <alignment horizontal="center" vertical="center"/>
    </xf>
    <xf numFmtId="4" fontId="8" fillId="0" borderId="14" xfId="1" applyNumberFormat="1" applyFont="1" applyFill="1" applyBorder="1" applyAlignment="1">
      <alignment horizontal="right" vertical="center"/>
    </xf>
    <xf numFmtId="0" fontId="8" fillId="0" borderId="22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0" fillId="0" borderId="23" xfId="1" applyNumberFormat="1" applyFont="1" applyFill="1" applyBorder="1" applyAlignment="1">
      <alignment horizontal="center" vertical="center"/>
    </xf>
    <xf numFmtId="187" fontId="10" fillId="0" borderId="23" xfId="1" applyFont="1" applyFill="1" applyBorder="1" applyAlignment="1">
      <alignment horizontal="center" vertical="center"/>
    </xf>
    <xf numFmtId="4" fontId="10" fillId="0" borderId="23" xfId="1" applyNumberFormat="1" applyFont="1" applyFill="1" applyBorder="1" applyAlignment="1">
      <alignment horizontal="right" vertical="center"/>
    </xf>
    <xf numFmtId="187" fontId="8" fillId="0" borderId="14" xfId="1" applyFont="1" applyFill="1" applyBorder="1" applyAlignment="1">
      <alignment horizontal="right" vertical="center"/>
    </xf>
    <xf numFmtId="4" fontId="21" fillId="0" borderId="14" xfId="1" applyNumberFormat="1" applyFont="1" applyBorder="1" applyAlignment="1">
      <alignment horizontal="right" vertical="center"/>
    </xf>
    <xf numFmtId="192" fontId="14" fillId="0" borderId="14" xfId="0" applyNumberFormat="1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88" fontId="8" fillId="0" borderId="14" xfId="1" applyNumberFormat="1" applyFont="1" applyBorder="1" applyAlignment="1">
      <alignment horizontal="right" vertical="center"/>
    </xf>
    <xf numFmtId="39" fontId="8" fillId="0" borderId="14" xfId="1" applyNumberFormat="1" applyFont="1" applyBorder="1" applyAlignment="1">
      <alignment horizontal="right" vertical="center"/>
    </xf>
    <xf numFmtId="39" fontId="8" fillId="0" borderId="14" xfId="1" applyNumberFormat="1" applyFont="1" applyFill="1" applyBorder="1" applyAlignment="1">
      <alignment horizontal="right" vertical="center"/>
    </xf>
    <xf numFmtId="188" fontId="8" fillId="5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8" fillId="0" borderId="0" xfId="0" quotePrefix="1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1" fillId="0" borderId="0" xfId="0" quotePrefix="1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2" fillId="0" borderId="0" xfId="0" quotePrefix="1" applyFont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20" fillId="0" borderId="16" xfId="0" quotePrefix="1" applyFont="1" applyBorder="1" applyAlignment="1">
      <alignment vertical="center"/>
    </xf>
    <xf numFmtId="43" fontId="13" fillId="0" borderId="0" xfId="0" applyNumberFormat="1" applyFont="1" applyAlignment="1">
      <alignment vertical="center" shrinkToFit="1"/>
    </xf>
    <xf numFmtId="39" fontId="8" fillId="0" borderId="0" xfId="0" applyNumberFormat="1" applyFont="1" applyAlignment="1">
      <alignment vertical="center"/>
    </xf>
    <xf numFmtId="4" fontId="14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vertical="center" shrinkToFit="1"/>
    </xf>
    <xf numFmtId="0" fontId="21" fillId="0" borderId="16" xfId="0" applyFont="1" applyBorder="1" applyAlignment="1">
      <alignment vertical="center"/>
    </xf>
    <xf numFmtId="0" fontId="8" fillId="0" borderId="16" xfId="0" applyFont="1" applyBorder="1" applyAlignment="1">
      <alignment horizontal="left" vertical="center" shrinkToFit="1"/>
    </xf>
    <xf numFmtId="0" fontId="8" fillId="0" borderId="15" xfId="0" applyFont="1" applyBorder="1" applyAlignment="1">
      <alignment vertical="center" shrinkToFit="1"/>
    </xf>
    <xf numFmtId="0" fontId="24" fillId="0" borderId="24" xfId="0" applyFont="1" applyBorder="1" applyAlignment="1">
      <alignment horizontal="center"/>
    </xf>
    <xf numFmtId="0" fontId="17" fillId="0" borderId="24" xfId="0" applyFont="1" applyBorder="1"/>
    <xf numFmtId="0" fontId="17" fillId="0" borderId="24" xfId="0" applyFont="1" applyBorder="1" applyAlignment="1">
      <alignment horizontal="center"/>
    </xf>
    <xf numFmtId="0" fontId="17" fillId="0" borderId="0" xfId="0" applyFont="1"/>
    <xf numFmtId="0" fontId="17" fillId="0" borderId="26" xfId="0" applyFont="1" applyBorder="1"/>
    <xf numFmtId="0" fontId="17" fillId="0" borderId="9" xfId="0" applyFont="1" applyBorder="1"/>
    <xf numFmtId="0" fontId="16" fillId="0" borderId="0" xfId="0" applyFont="1" applyAlignment="1">
      <alignment horizontal="center" vertical="center"/>
    </xf>
    <xf numFmtId="187" fontId="17" fillId="0" borderId="0" xfId="1" applyFont="1"/>
    <xf numFmtId="0" fontId="17" fillId="7" borderId="24" xfId="0" applyFont="1" applyFill="1" applyBorder="1" applyAlignment="1">
      <alignment horizontal="center"/>
    </xf>
    <xf numFmtId="0" fontId="17" fillId="2" borderId="24" xfId="0" applyFont="1" applyFill="1" applyBorder="1"/>
    <xf numFmtId="190" fontId="17" fillId="2" borderId="24" xfId="0" applyNumberFormat="1" applyFont="1" applyFill="1" applyBorder="1"/>
    <xf numFmtId="4" fontId="22" fillId="6" borderId="27" xfId="1" applyNumberFormat="1" applyFont="1" applyFill="1" applyBorder="1" applyAlignment="1">
      <alignment horizontal="right"/>
    </xf>
    <xf numFmtId="187" fontId="17" fillId="2" borderId="24" xfId="1" applyFont="1" applyFill="1" applyBorder="1"/>
    <xf numFmtId="187" fontId="17" fillId="0" borderId="24" xfId="1" applyFont="1" applyBorder="1"/>
    <xf numFmtId="43" fontId="17" fillId="0" borderId="24" xfId="0" applyNumberFormat="1" applyFont="1" applyBorder="1"/>
    <xf numFmtId="0" fontId="17" fillId="0" borderId="0" xfId="0" applyFont="1" applyAlignment="1">
      <alignment horizontal="center"/>
    </xf>
    <xf numFmtId="0" fontId="24" fillId="8" borderId="24" xfId="0" applyFont="1" applyFill="1" applyBorder="1"/>
    <xf numFmtId="0" fontId="24" fillId="0" borderId="0" xfId="0" applyFont="1"/>
    <xf numFmtId="0" fontId="8" fillId="0" borderId="14" xfId="4" applyFont="1" applyBorder="1" applyAlignment="1">
      <alignment vertical="center" shrinkToFit="1"/>
    </xf>
    <xf numFmtId="2" fontId="8" fillId="0" borderId="0" xfId="1" applyNumberFormat="1" applyFont="1" applyBorder="1" applyAlignment="1">
      <alignment horizontal="right" vertical="center"/>
    </xf>
    <xf numFmtId="4" fontId="8" fillId="0" borderId="14" xfId="1" applyNumberFormat="1" applyFont="1" applyBorder="1" applyAlignment="1">
      <alignment horizontal="right" vertical="center" shrinkToFit="1"/>
    </xf>
    <xf numFmtId="187" fontId="8" fillId="0" borderId="0" xfId="1" applyFont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4" quotePrefix="1" applyFont="1" applyAlignment="1">
      <alignment horizontal="left" vertical="center"/>
    </xf>
    <xf numFmtId="0" fontId="8" fillId="0" borderId="0" xfId="0" quotePrefix="1" applyFont="1" applyAlignment="1">
      <alignment vertical="center"/>
    </xf>
    <xf numFmtId="187" fontId="8" fillId="0" borderId="0" xfId="1" applyFont="1" applyAlignment="1">
      <alignment vertical="center" shrinkToFit="1"/>
    </xf>
    <xf numFmtId="0" fontId="21" fillId="0" borderId="16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2" fontId="26" fillId="0" borderId="0" xfId="0" applyNumberFormat="1" applyFont="1" applyAlignment="1">
      <alignment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87" fontId="8" fillId="0" borderId="0" xfId="0" applyNumberFormat="1" applyFont="1" applyAlignment="1">
      <alignment vertical="center" shrinkToFit="1"/>
    </xf>
    <xf numFmtId="0" fontId="2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189" fontId="8" fillId="0" borderId="14" xfId="0" applyNumberFormat="1" applyFont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4" fontId="8" fillId="0" borderId="14" xfId="3" applyNumberFormat="1" applyFont="1" applyBorder="1" applyAlignment="1">
      <alignment horizontal="center" vertical="center"/>
    </xf>
    <xf numFmtId="4" fontId="8" fillId="0" borderId="16" xfId="3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" fontId="9" fillId="0" borderId="16" xfId="3" applyNumberFormat="1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4" fontId="28" fillId="0" borderId="0" xfId="0" applyNumberFormat="1" applyFont="1" applyAlignment="1">
      <alignment vertical="center"/>
    </xf>
    <xf numFmtId="4" fontId="27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190" fontId="8" fillId="0" borderId="0" xfId="0" applyNumberFormat="1" applyFont="1" applyAlignment="1">
      <alignment vertical="center"/>
    </xf>
    <xf numFmtId="193" fontId="8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2" fontId="28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" fontId="8" fillId="0" borderId="4" xfId="0" applyNumberFormat="1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4" fontId="8" fillId="0" borderId="12" xfId="0" applyNumberFormat="1" applyFont="1" applyBorder="1" applyAlignment="1">
      <alignment horizontal="center" vertical="center"/>
    </xf>
    <xf numFmtId="4" fontId="8" fillId="0" borderId="13" xfId="0" applyNumberFormat="1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เครื่องหมายจุลภาค_Sheet1" xfId="2"/>
    <cellStyle name="ปกติ_Sheet1" xfId="3"/>
    <cellStyle name="ปกติ_Sheet1_1" xfId="4"/>
  </cellStyles>
  <dxfs count="0"/>
  <tableStyles count="0" defaultTableStyle="TableStyleMedium9" defaultPivotStyle="PivotStyleLight16"/>
  <colors>
    <mruColors>
      <color rgb="FFFFFFFF"/>
      <color rgb="FFF8F8F8"/>
      <color rgb="FFCCFFFF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1452880</xdr:colOff>
      <xdr:row>0</xdr:row>
      <xdr:rowOff>94403</xdr:rowOff>
    </xdr:from>
    <xdr:to>
      <xdr:col>3</xdr:col>
      <xdr:colOff>455083</xdr:colOff>
      <xdr:row>3</xdr:row>
      <xdr:rowOff>140736</xdr:rowOff>
    </xdr:to>
    <xdr:pic>
      <xdr:nvPicPr>
        <xdr:cNvPr id="6443" name="Picture 1">
          <a:extLst>
            <a:ext uri="{FF2B5EF4-FFF2-40B4-BE49-F238E27FC236}">
              <a16:creationId xmlns:a16="http://schemas.microsoft.com/office/drawing/2014/main" xmlns="" id="{00000000-0008-0000-0F00-00002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5297" y="94403"/>
          <a:ext cx="716703" cy="713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1452880</xdr:colOff>
      <xdr:row>0</xdr:row>
      <xdr:rowOff>94403</xdr:rowOff>
    </xdr:from>
    <xdr:to>
      <xdr:col>3</xdr:col>
      <xdr:colOff>455083</xdr:colOff>
      <xdr:row>3</xdr:row>
      <xdr:rowOff>140736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CFDA9416-17A9-41E7-8E76-C648BFCAB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7480" y="94403"/>
          <a:ext cx="786553" cy="706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1452880</xdr:colOff>
      <xdr:row>0</xdr:row>
      <xdr:rowOff>94403</xdr:rowOff>
    </xdr:from>
    <xdr:to>
      <xdr:col>3</xdr:col>
      <xdr:colOff>455083</xdr:colOff>
      <xdr:row>3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3295261E-C0F0-40F2-9132-4E9302ED7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410" y="94403"/>
          <a:ext cx="758116" cy="727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30480</xdr:rowOff>
    </xdr:from>
    <xdr:to>
      <xdr:col>1</xdr:col>
      <xdr:colOff>0</xdr:colOff>
      <xdr:row>0</xdr:row>
      <xdr:rowOff>30480</xdr:rowOff>
    </xdr:to>
    <xdr:pic>
      <xdr:nvPicPr>
        <xdr:cNvPr id="5704" name="Picture 2">
          <a:extLst>
            <a:ext uri="{FF2B5EF4-FFF2-40B4-BE49-F238E27FC236}">
              <a16:creationId xmlns:a16="http://schemas.microsoft.com/office/drawing/2014/main" xmlns="" id="{00000000-0008-0000-0E00-000048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0480"/>
          <a:ext cx="4495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0</xdr:row>
      <xdr:rowOff>30480</xdr:rowOff>
    </xdr:from>
    <xdr:to>
      <xdr:col>1</xdr:col>
      <xdr:colOff>0</xdr:colOff>
      <xdr:row>0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894AD0B6-FB7F-4B47-99E0-EAEA52A2E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0480"/>
          <a:ext cx="4495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0</xdr:row>
      <xdr:rowOff>30480</xdr:rowOff>
    </xdr:from>
    <xdr:to>
      <xdr:col>1</xdr:col>
      <xdr:colOff>0</xdr:colOff>
      <xdr:row>0</xdr:row>
      <xdr:rowOff>30480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4BD7BDE9-BC87-4D7B-9172-F210DF8F4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0480"/>
          <a:ext cx="4495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0</xdr:row>
      <xdr:rowOff>144780</xdr:rowOff>
    </xdr:from>
    <xdr:to>
      <xdr:col>1</xdr:col>
      <xdr:colOff>15240</xdr:colOff>
      <xdr:row>3</xdr:row>
      <xdr:rowOff>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9CF04886-A304-4E9E-9300-948E2E1EF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44780"/>
          <a:ext cx="4419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2177204</xdr:colOff>
      <xdr:row>0</xdr:row>
      <xdr:rowOff>28575</xdr:rowOff>
    </xdr:from>
    <xdr:to>
      <xdr:col>2</xdr:col>
      <xdr:colOff>2724150</xdr:colOff>
      <xdr:row>2</xdr:row>
      <xdr:rowOff>146244</xdr:rowOff>
    </xdr:to>
    <xdr:pic>
      <xdr:nvPicPr>
        <xdr:cNvPr id="9976" name="Picture 2">
          <a:extLst>
            <a:ext uri="{FF2B5EF4-FFF2-40B4-BE49-F238E27FC236}">
              <a16:creationId xmlns:a16="http://schemas.microsoft.com/office/drawing/2014/main" xmlns="" id="{00000000-0008-0000-1300-0000F8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5854" y="28575"/>
          <a:ext cx="546946" cy="498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91;&#3610;68\&#3649;&#3615;&#3621;&#3605;KB\68KB01\&#3649;&#3615;&#3621;&#3605;14%20UNIT%2068KB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ฐานราก"/>
      <sheetName val="คาน"/>
      <sheetName val="เสา"/>
      <sheetName val="พื้นโครงสร้าง"/>
      <sheetName val="หลังคา"/>
      <sheetName val="ฝ้า"/>
      <sheetName val="ผนัง"/>
      <sheetName val="ประตูหน้าต่าง"/>
      <sheetName val="พื้น"/>
      <sheetName val="อุปกรณ์ไฟฟ้า"/>
      <sheetName val="สายไฟฟ้า"/>
      <sheetName val="สรุปโครงสร้าง"/>
      <sheetName val="สรุปงวดงานเข็ม"/>
      <sheetName val="ราคางวดงานเข็ม"/>
      <sheetName val="งวดงานเข็ม"/>
      <sheetName val="ราคางวดงานเข็มเจาะ"/>
      <sheetName val="ปร4เข็มเจาะ"/>
      <sheetName val="ปร5เข็มเจาะ"/>
      <sheetName val="ปร4เข็มตอก"/>
      <sheetName val="ปร5เข็ม"/>
      <sheetName val="ปร4ฐานแผ่"/>
      <sheetName val="ปร5แผ่"/>
      <sheetName val="ราคางวดงานฐานแผ่"/>
      <sheetName val="งวดงานฐานแผ่"/>
      <sheetName val="factor F"/>
      <sheetName val="ราคา"/>
      <sheetName val="ราคาวัสดุ"/>
      <sheetName val="สุขาภิบา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0">
          <cell r="F70">
            <v>213.08249999999998</v>
          </cell>
        </row>
        <row r="112">
          <cell r="F112">
            <v>111.1469</v>
          </cell>
        </row>
        <row r="116">
          <cell r="F116">
            <v>345.54449189870002</v>
          </cell>
          <cell r="H116">
            <v>113.66608300000001</v>
          </cell>
        </row>
        <row r="282">
          <cell r="F282">
            <v>21530</v>
          </cell>
          <cell r="H282">
            <v>2093.3000000000002</v>
          </cell>
        </row>
        <row r="287">
          <cell r="F287">
            <v>14576</v>
          </cell>
          <cell r="H287">
            <v>922</v>
          </cell>
        </row>
        <row r="292">
          <cell r="F292">
            <v>7176</v>
          </cell>
          <cell r="H292">
            <v>490.6</v>
          </cell>
        </row>
        <row r="297">
          <cell r="F297">
            <v>12000</v>
          </cell>
          <cell r="H297">
            <v>910</v>
          </cell>
        </row>
        <row r="301">
          <cell r="F301">
            <v>2700</v>
          </cell>
          <cell r="H301">
            <v>405</v>
          </cell>
        </row>
        <row r="304">
          <cell r="F304">
            <v>7300</v>
          </cell>
          <cell r="H304">
            <v>1095</v>
          </cell>
        </row>
        <row r="357">
          <cell r="F357">
            <v>1101.62574</v>
          </cell>
          <cell r="H357">
            <v>422.85400000000004</v>
          </cell>
        </row>
      </sheetData>
      <sheetData sheetId="26"/>
      <sheetData sheetId="27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K36"/>
  <sheetViews>
    <sheetView zoomScale="115" zoomScaleNormal="115" workbookViewId="0"/>
  </sheetViews>
  <sheetFormatPr defaultColWidth="8.7109375" defaultRowHeight="18" customHeight="1" x14ac:dyDescent="0.2"/>
  <cols>
    <col min="1" max="1" width="7.42578125" style="5" customWidth="1"/>
    <col min="2" max="2" width="28.5703125" style="5" customWidth="1"/>
    <col min="3" max="3" width="25.5703125" style="5" customWidth="1"/>
    <col min="4" max="4" width="10.5703125" style="5" customWidth="1"/>
    <col min="5" max="5" width="27.28515625" style="5" customWidth="1"/>
    <col min="6" max="6" width="25.5703125" style="5" customWidth="1"/>
    <col min="7" max="7" width="8.7109375" style="5"/>
    <col min="8" max="8" width="11.28515625" style="5" customWidth="1"/>
    <col min="9" max="9" width="22.7109375" style="5" customWidth="1"/>
    <col min="10" max="10" width="7.5703125" style="5" customWidth="1"/>
    <col min="11" max="16384" width="8.7109375" style="5"/>
  </cols>
  <sheetData>
    <row r="1" spans="1:11" ht="18" customHeight="1" x14ac:dyDescent="0.2">
      <c r="F1" s="76" t="s">
        <v>34</v>
      </c>
    </row>
    <row r="2" spans="1:11" ht="18" customHeight="1" x14ac:dyDescent="0.2">
      <c r="I2" s="83"/>
      <c r="J2" s="83"/>
      <c r="K2" s="83"/>
    </row>
    <row r="3" spans="1:11" ht="16.149999999999999" customHeight="1" x14ac:dyDescent="0.2">
      <c r="H3" s="76"/>
      <c r="I3" s="83"/>
      <c r="J3" s="83"/>
      <c r="K3" s="83"/>
    </row>
    <row r="4" spans="1:11" ht="16.149999999999999" customHeight="1" x14ac:dyDescent="0.2">
      <c r="I4" s="83"/>
      <c r="J4" s="83"/>
      <c r="K4" s="83"/>
    </row>
    <row r="5" spans="1:11" ht="16.149999999999999" customHeight="1" x14ac:dyDescent="0.2">
      <c r="A5" s="202" t="s">
        <v>35</v>
      </c>
      <c r="B5" s="202"/>
      <c r="C5" s="202"/>
      <c r="D5" s="202"/>
      <c r="E5" s="202"/>
      <c r="F5" s="202"/>
      <c r="I5" s="83"/>
      <c r="J5" s="83"/>
      <c r="K5" s="83"/>
    </row>
    <row r="6" spans="1:11" ht="16.149999999999999" customHeight="1" x14ac:dyDescent="0.2">
      <c r="A6" s="202" t="s">
        <v>45</v>
      </c>
      <c r="B6" s="202"/>
      <c r="C6" s="202"/>
      <c r="D6" s="202"/>
      <c r="E6" s="202"/>
      <c r="F6" s="202"/>
      <c r="I6" s="83"/>
      <c r="J6" s="83"/>
      <c r="K6" s="83"/>
    </row>
    <row r="7" spans="1:11" ht="16.149999999999999" customHeight="1" x14ac:dyDescent="0.2">
      <c r="A7" s="203" t="s">
        <v>192</v>
      </c>
      <c r="B7" s="203"/>
      <c r="C7" s="203"/>
      <c r="D7" s="203"/>
      <c r="E7" s="203"/>
      <c r="F7" s="203"/>
      <c r="I7" s="83"/>
      <c r="J7" s="83"/>
      <c r="K7" s="83"/>
    </row>
    <row r="8" spans="1:11" ht="16.149999999999999" customHeight="1" x14ac:dyDescent="0.2">
      <c r="A8" s="202" t="s">
        <v>330</v>
      </c>
      <c r="B8" s="202"/>
      <c r="C8" s="202"/>
      <c r="D8" s="202"/>
      <c r="E8" s="202"/>
      <c r="F8" s="202"/>
      <c r="H8" s="76"/>
      <c r="I8" s="83"/>
      <c r="J8" s="83"/>
      <c r="K8" s="83"/>
    </row>
    <row r="9" spans="1:11" ht="16.149999999999999" customHeight="1" x14ac:dyDescent="0.2">
      <c r="A9" s="202" t="s">
        <v>400</v>
      </c>
      <c r="B9" s="202"/>
      <c r="C9" s="202"/>
      <c r="D9" s="202"/>
      <c r="E9" s="202"/>
      <c r="F9" s="202"/>
      <c r="I9" s="83"/>
      <c r="J9" s="83"/>
      <c r="K9" s="83"/>
    </row>
    <row r="10" spans="1:11" ht="16.149999999999999" customHeight="1" x14ac:dyDescent="0.2">
      <c r="A10" s="202" t="s">
        <v>44</v>
      </c>
      <c r="B10" s="202"/>
      <c r="C10" s="202"/>
      <c r="D10" s="202"/>
      <c r="E10" s="202"/>
      <c r="F10" s="202"/>
      <c r="H10" s="76"/>
      <c r="I10" s="83"/>
      <c r="J10" s="83"/>
      <c r="K10" s="83"/>
    </row>
    <row r="11" spans="1:11" ht="16.149999999999999" customHeight="1" x14ac:dyDescent="0.2">
      <c r="A11" s="202" t="s">
        <v>412</v>
      </c>
      <c r="B11" s="202"/>
      <c r="C11" s="202"/>
      <c r="D11" s="202"/>
      <c r="E11" s="202"/>
      <c r="F11" s="202"/>
      <c r="I11" s="83"/>
      <c r="J11" s="83"/>
      <c r="K11" s="83"/>
    </row>
    <row r="12" spans="1:11" ht="16.149999999999999" customHeight="1" x14ac:dyDescent="0.2">
      <c r="A12" s="199" t="s">
        <v>411</v>
      </c>
      <c r="B12" s="199"/>
      <c r="C12" s="199"/>
      <c r="D12" s="199"/>
      <c r="E12" s="199"/>
      <c r="F12" s="199"/>
      <c r="I12" s="83"/>
      <c r="J12" s="83"/>
      <c r="K12" s="83"/>
    </row>
    <row r="13" spans="1:11" ht="16.149999999999999" customHeight="1" x14ac:dyDescent="0.2">
      <c r="A13" s="200" t="s">
        <v>2</v>
      </c>
      <c r="B13" s="200" t="s">
        <v>3</v>
      </c>
      <c r="C13" s="148" t="s">
        <v>36</v>
      </c>
      <c r="D13" s="200" t="s">
        <v>37</v>
      </c>
      <c r="E13" s="148" t="s">
        <v>38</v>
      </c>
      <c r="F13" s="200" t="s">
        <v>7</v>
      </c>
      <c r="H13" s="158" t="s">
        <v>413</v>
      </c>
      <c r="I13" s="144">
        <f>C15</f>
        <v>11192160.143470358</v>
      </c>
      <c r="J13" s="83"/>
      <c r="K13" s="83"/>
    </row>
    <row r="14" spans="1:11" ht="16.149999999999999" customHeight="1" x14ac:dyDescent="0.2">
      <c r="A14" s="201"/>
      <c r="B14" s="201"/>
      <c r="C14" s="149" t="s">
        <v>39</v>
      </c>
      <c r="D14" s="201"/>
      <c r="E14" s="149" t="s">
        <v>39</v>
      </c>
      <c r="F14" s="201"/>
      <c r="H14" s="158" t="s">
        <v>414</v>
      </c>
      <c r="I14" s="144">
        <v>10000000</v>
      </c>
      <c r="J14" s="83"/>
      <c r="K14" s="83"/>
    </row>
    <row r="15" spans="1:11" ht="16.149999999999999" customHeight="1" x14ac:dyDescent="0.2">
      <c r="A15" s="10">
        <v>1</v>
      </c>
      <c r="B15" s="77" t="s">
        <v>40</v>
      </c>
      <c r="C15" s="69">
        <f>ปร4เข็มเจาะ!K19</f>
        <v>11192160.143470358</v>
      </c>
      <c r="D15" s="78">
        <v>1.2876000000000001</v>
      </c>
      <c r="E15" s="69">
        <f>C15*D15</f>
        <v>14411025.400732433</v>
      </c>
      <c r="F15" s="1" t="s">
        <v>196</v>
      </c>
      <c r="H15" s="158" t="s">
        <v>415</v>
      </c>
      <c r="I15" s="144">
        <v>15000000</v>
      </c>
      <c r="J15" s="83"/>
      <c r="K15" s="83"/>
    </row>
    <row r="16" spans="1:11" ht="16.149999999999999" customHeight="1" x14ac:dyDescent="0.2">
      <c r="A16" s="12">
        <v>2</v>
      </c>
      <c r="B16" s="19" t="s">
        <v>97</v>
      </c>
      <c r="C16" s="17">
        <f>ปร4เข็มเจาะ!K20</f>
        <v>36900</v>
      </c>
      <c r="D16" s="12" t="s">
        <v>98</v>
      </c>
      <c r="E16" s="79">
        <f>C16*1.07</f>
        <v>39483</v>
      </c>
      <c r="F16" s="2" t="s">
        <v>48</v>
      </c>
      <c r="H16" s="158" t="s">
        <v>416</v>
      </c>
      <c r="I16" s="190">
        <v>1.296</v>
      </c>
      <c r="J16" s="83"/>
      <c r="K16" s="83"/>
    </row>
    <row r="17" spans="1:11" ht="16.149999999999999" customHeight="1" x14ac:dyDescent="0.2">
      <c r="A17" s="19"/>
      <c r="B17" s="19"/>
      <c r="C17" s="19"/>
      <c r="D17" s="19"/>
      <c r="E17" s="19"/>
      <c r="F17" s="2" t="s">
        <v>49</v>
      </c>
      <c r="H17" s="158" t="s">
        <v>417</v>
      </c>
      <c r="I17" s="190">
        <v>1.2611000000000001</v>
      </c>
      <c r="J17" s="83"/>
      <c r="K17" s="83"/>
    </row>
    <row r="18" spans="1:11" ht="16.149999999999999" customHeight="1" x14ac:dyDescent="0.2">
      <c r="A18" s="19"/>
      <c r="B18" s="2"/>
      <c r="C18" s="19"/>
      <c r="D18" s="19"/>
      <c r="E18" s="19"/>
      <c r="F18" s="2" t="s">
        <v>197</v>
      </c>
      <c r="I18" s="83"/>
      <c r="J18" s="83"/>
      <c r="K18" s="83"/>
    </row>
    <row r="19" spans="1:11" ht="16.149999999999999" customHeight="1" x14ac:dyDescent="0.2">
      <c r="A19" s="19"/>
      <c r="B19" s="2"/>
      <c r="C19" s="19"/>
      <c r="D19" s="19"/>
      <c r="E19" s="19"/>
      <c r="F19" s="2" t="s">
        <v>50</v>
      </c>
      <c r="H19" s="170" t="s">
        <v>37</v>
      </c>
      <c r="I19" s="191">
        <f>I16-(((I16-I17)*(I13-I14))/(I15-I14))</f>
        <v>1.287678722198577</v>
      </c>
      <c r="J19" s="83"/>
      <c r="K19" s="83"/>
    </row>
    <row r="20" spans="1:11" ht="16.149999999999999" customHeight="1" x14ac:dyDescent="0.2">
      <c r="A20" s="19"/>
      <c r="B20" s="19"/>
      <c r="C20" s="19"/>
      <c r="D20" s="19"/>
      <c r="E20" s="19"/>
      <c r="F20" s="19"/>
      <c r="H20" s="76"/>
      <c r="I20" s="83"/>
      <c r="J20" s="83"/>
      <c r="K20" s="83"/>
    </row>
    <row r="21" spans="1:11" ht="16.149999999999999" customHeight="1" x14ac:dyDescent="0.2">
      <c r="A21" s="80" t="s">
        <v>29</v>
      </c>
      <c r="B21" s="19" t="s">
        <v>104</v>
      </c>
      <c r="C21" s="19"/>
      <c r="D21" s="19"/>
      <c r="E21" s="118">
        <f>SUM(E15:E16)-0</f>
        <v>14450508.400732433</v>
      </c>
      <c r="F21" s="98">
        <f>E21-19316000</f>
        <v>-4865491.5992675666</v>
      </c>
      <c r="I21" s="83"/>
      <c r="J21" s="83"/>
      <c r="K21" s="83"/>
    </row>
    <row r="22" spans="1:11" ht="16.149999999999999" customHeight="1" x14ac:dyDescent="0.2">
      <c r="A22" s="81"/>
      <c r="B22" s="196" t="str">
        <f>BAHTTEXT(E22)</f>
        <v>สิบสี่ล้านสี่แสนห้าหมื่นห้าร้อยแปดบาทสี่สิบสตางค์</v>
      </c>
      <c r="C22" s="197"/>
      <c r="D22" s="198"/>
      <c r="E22" s="82">
        <f>E21</f>
        <v>14450508.400732433</v>
      </c>
      <c r="F22" s="81"/>
      <c r="I22" s="83"/>
      <c r="J22" s="83"/>
      <c r="K22" s="83"/>
    </row>
    <row r="23" spans="1:11" ht="16.149999999999999" customHeight="1" x14ac:dyDescent="0.2">
      <c r="A23" s="156">
        <f>C15/757.49</f>
        <v>14775.323956052698</v>
      </c>
      <c r="B23" s="195" t="s">
        <v>401</v>
      </c>
      <c r="C23" s="195"/>
      <c r="D23" s="195" t="s">
        <v>422</v>
      </c>
      <c r="F23" s="193"/>
      <c r="I23" s="83">
        <f>ปร4เข็มเจาะ!I35/757.49</f>
        <v>14824.037470422525</v>
      </c>
      <c r="J23" s="83"/>
      <c r="K23" s="83"/>
    </row>
    <row r="24" spans="1:11" ht="16.149999999999999" customHeight="1" x14ac:dyDescent="0.2">
      <c r="A24" s="3"/>
      <c r="B24" s="3"/>
      <c r="C24" s="4"/>
      <c r="F24" s="187"/>
      <c r="I24" s="83"/>
      <c r="J24" s="83"/>
      <c r="K24" s="83"/>
    </row>
    <row r="25" spans="1:11" ht="16.149999999999999" customHeight="1" x14ac:dyDescent="0.2">
      <c r="A25" s="3"/>
      <c r="B25" s="3"/>
      <c r="C25" s="4"/>
      <c r="F25" s="192"/>
      <c r="I25" s="194">
        <f>14451000-E22</f>
        <v>491.5992675665766</v>
      </c>
      <c r="J25" s="83"/>
      <c r="K25" s="83"/>
    </row>
    <row r="26" spans="1:11" ht="16.149999999999999" customHeight="1" x14ac:dyDescent="0.2">
      <c r="B26" s="5" t="s">
        <v>390</v>
      </c>
      <c r="I26" s="83"/>
      <c r="J26" s="83"/>
      <c r="K26" s="83"/>
    </row>
    <row r="27" spans="1:11" ht="16.149999999999999" customHeight="1" x14ac:dyDescent="0.2">
      <c r="B27" s="5" t="s">
        <v>402</v>
      </c>
      <c r="C27" s="5" t="s">
        <v>391</v>
      </c>
      <c r="D27" s="5" t="s">
        <v>392</v>
      </c>
      <c r="I27" s="83"/>
      <c r="J27" s="83"/>
      <c r="K27" s="83"/>
    </row>
    <row r="28" spans="1:11" ht="16.149999999999999" customHeight="1" x14ac:dyDescent="0.2">
      <c r="B28" s="5" t="s">
        <v>406</v>
      </c>
      <c r="C28" s="5" t="s">
        <v>393</v>
      </c>
      <c r="D28" s="5" t="s">
        <v>392</v>
      </c>
      <c r="K28" s="83"/>
    </row>
    <row r="29" spans="1:11" ht="16.149999999999999" customHeight="1" x14ac:dyDescent="0.2">
      <c r="B29" s="5" t="s">
        <v>405</v>
      </c>
      <c r="C29" s="5" t="s">
        <v>393</v>
      </c>
      <c r="D29" s="5" t="s">
        <v>392</v>
      </c>
    </row>
    <row r="30" spans="1:11" ht="16.149999999999999" customHeight="1" x14ac:dyDescent="0.2">
      <c r="B30" s="5" t="s">
        <v>404</v>
      </c>
      <c r="C30" s="5" t="s">
        <v>393</v>
      </c>
      <c r="D30" s="5" t="s">
        <v>392</v>
      </c>
    </row>
    <row r="31" spans="1:11" ht="18" customHeight="1" x14ac:dyDescent="0.2">
      <c r="B31" s="5" t="s">
        <v>403</v>
      </c>
      <c r="C31" s="5" t="s">
        <v>394</v>
      </c>
      <c r="D31" s="5" t="s">
        <v>392</v>
      </c>
    </row>
    <row r="34" spans="4:4" ht="15" customHeight="1" x14ac:dyDescent="0.2">
      <c r="D34" s="150"/>
    </row>
    <row r="35" spans="4:4" ht="15" customHeight="1" x14ac:dyDescent="0.2"/>
    <row r="36" spans="4:4" ht="15" customHeight="1" x14ac:dyDescent="0.2"/>
  </sheetData>
  <mergeCells count="13">
    <mergeCell ref="A5:F5"/>
    <mergeCell ref="A9:F9"/>
    <mergeCell ref="A10:F10"/>
    <mergeCell ref="A11:F11"/>
    <mergeCell ref="A6:F6"/>
    <mergeCell ref="A7:F7"/>
    <mergeCell ref="A8:F8"/>
    <mergeCell ref="B22:D22"/>
    <mergeCell ref="A12:F12"/>
    <mergeCell ref="A13:A14"/>
    <mergeCell ref="B13:B14"/>
    <mergeCell ref="D13:D14"/>
    <mergeCell ref="F13:F14"/>
  </mergeCells>
  <phoneticPr fontId="0" type="noConversion"/>
  <pageMargins left="0.75" right="0.75" top="0.53" bottom="0.51" header="0.5" footer="0.5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01"/>
  <sheetViews>
    <sheetView tabSelected="1" zoomScaleNormal="100" zoomScaleSheetLayoutView="58" workbookViewId="0">
      <selection activeCell="B1" sqref="B1"/>
    </sheetView>
  </sheetViews>
  <sheetFormatPr defaultColWidth="8.7109375" defaultRowHeight="22.5" x14ac:dyDescent="0.2"/>
  <cols>
    <col min="1" max="1" width="6.5703125" style="158" customWidth="1"/>
    <col min="2" max="2" width="37" style="5" customWidth="1"/>
    <col min="3" max="3" width="9.7109375" style="5" customWidth="1"/>
    <col min="4" max="4" width="5.5703125" style="158" customWidth="1"/>
    <col min="5" max="5" width="9.42578125" style="76" customWidth="1"/>
    <col min="6" max="6" width="12.5703125" style="76" customWidth="1"/>
    <col min="7" max="7" width="9.5703125" style="76" customWidth="1"/>
    <col min="8" max="8" width="12.5703125" style="76" customWidth="1"/>
    <col min="9" max="9" width="15.5703125" style="76" customWidth="1"/>
    <col min="10" max="10" width="13" style="158" customWidth="1"/>
    <col min="11" max="11" width="15.28515625" style="5" customWidth="1"/>
    <col min="12" max="12" width="12.28515625" style="5" bestFit="1" customWidth="1"/>
    <col min="13" max="13" width="10.42578125" style="5" bestFit="1" customWidth="1"/>
    <col min="14" max="16384" width="8.7109375" style="5"/>
  </cols>
  <sheetData>
    <row r="1" spans="1:10" ht="16.149999999999999" customHeight="1" x14ac:dyDescent="0.2">
      <c r="B1" s="5" t="s">
        <v>398</v>
      </c>
      <c r="E1" s="5" t="s">
        <v>419</v>
      </c>
      <c r="F1" s="6"/>
      <c r="G1" s="5"/>
      <c r="H1" s="6"/>
      <c r="I1" s="6" t="s">
        <v>0</v>
      </c>
      <c r="J1" s="176"/>
    </row>
    <row r="2" spans="1:10" ht="16.149999999999999" customHeight="1" x14ac:dyDescent="0.2">
      <c r="A2" s="170"/>
      <c r="B2" s="5" t="s">
        <v>278</v>
      </c>
      <c r="E2" s="150" t="s">
        <v>279</v>
      </c>
      <c r="F2" s="6"/>
      <c r="G2" s="204" t="s">
        <v>1</v>
      </c>
      <c r="H2" s="204"/>
      <c r="I2" s="204"/>
    </row>
    <row r="3" spans="1:10" ht="16.149999999999999" customHeight="1" x14ac:dyDescent="0.2">
      <c r="B3" s="5" t="s">
        <v>395</v>
      </c>
      <c r="E3" s="5"/>
      <c r="F3" s="5"/>
      <c r="G3" s="5"/>
      <c r="H3" s="5"/>
      <c r="I3" s="6"/>
    </row>
    <row r="4" spans="1:10" ht="16.149999999999999" customHeight="1" x14ac:dyDescent="0.2">
      <c r="B4" s="5" t="s">
        <v>399</v>
      </c>
      <c r="C4" s="7"/>
      <c r="D4" s="157"/>
      <c r="E4" s="150" t="s">
        <v>396</v>
      </c>
      <c r="F4" s="6"/>
      <c r="G4" s="6"/>
      <c r="H4" s="205" t="s">
        <v>397</v>
      </c>
      <c r="I4" s="205"/>
      <c r="J4" s="176"/>
    </row>
    <row r="5" spans="1:10" ht="16.149999999999999" customHeight="1" x14ac:dyDescent="0.2">
      <c r="A5" s="200" t="s">
        <v>2</v>
      </c>
      <c r="B5" s="200" t="s">
        <v>3</v>
      </c>
      <c r="C5" s="200" t="s">
        <v>41</v>
      </c>
      <c r="D5" s="200" t="s">
        <v>4</v>
      </c>
      <c r="E5" s="206" t="s">
        <v>5</v>
      </c>
      <c r="F5" s="207"/>
      <c r="G5" s="208" t="s">
        <v>56</v>
      </c>
      <c r="H5" s="209"/>
      <c r="I5" s="8" t="s">
        <v>6</v>
      </c>
      <c r="J5" s="200" t="s">
        <v>7</v>
      </c>
    </row>
    <row r="6" spans="1:10" ht="16.149999999999999" customHeight="1" x14ac:dyDescent="0.2">
      <c r="A6" s="201"/>
      <c r="B6" s="201"/>
      <c r="C6" s="201"/>
      <c r="D6" s="201"/>
      <c r="E6" s="87" t="s">
        <v>8</v>
      </c>
      <c r="F6" s="9" t="s">
        <v>9</v>
      </c>
      <c r="G6" s="87" t="s">
        <v>8</v>
      </c>
      <c r="H6" s="9" t="s">
        <v>9</v>
      </c>
      <c r="I6" s="9" t="s">
        <v>10</v>
      </c>
      <c r="J6" s="201"/>
    </row>
    <row r="7" spans="1:10" ht="16.149999999999999" customHeight="1" x14ac:dyDescent="0.2">
      <c r="A7" s="10"/>
      <c r="B7" s="10" t="s">
        <v>11</v>
      </c>
      <c r="C7" s="10"/>
      <c r="D7" s="10"/>
      <c r="E7" s="11"/>
      <c r="F7" s="11"/>
      <c r="G7" s="11"/>
      <c r="H7" s="11"/>
      <c r="I7" s="11"/>
      <c r="J7" s="10" t="s">
        <v>12</v>
      </c>
    </row>
    <row r="8" spans="1:10" ht="16.149999999999999" customHeight="1" x14ac:dyDescent="0.2">
      <c r="A8" s="12">
        <v>1</v>
      </c>
      <c r="B8" s="13" t="s">
        <v>142</v>
      </c>
      <c r="C8" s="12"/>
      <c r="D8" s="12" t="s">
        <v>13</v>
      </c>
      <c r="E8" s="14"/>
      <c r="F8" s="14"/>
      <c r="G8" s="14"/>
      <c r="H8" s="14"/>
      <c r="I8" s="14">
        <f>K55</f>
        <v>1268241.9118588003</v>
      </c>
      <c r="J8" s="15">
        <f>(I8/$I$35)*100</f>
        <v>11.294283721476695</v>
      </c>
    </row>
    <row r="9" spans="1:10" ht="16.149999999999999" customHeight="1" x14ac:dyDescent="0.2">
      <c r="A9" s="12">
        <v>2</v>
      </c>
      <c r="B9" s="13" t="s">
        <v>57</v>
      </c>
      <c r="C9" s="12"/>
      <c r="D9" s="12" t="s">
        <v>13</v>
      </c>
      <c r="E9" s="14"/>
      <c r="F9" s="14"/>
      <c r="G9" s="14"/>
      <c r="H9" s="14"/>
      <c r="I9" s="14">
        <f>K80</f>
        <v>2113192.3635999998</v>
      </c>
      <c r="J9" s="15">
        <f t="shared" ref="J9:J20" si="0">(I9/$I$35)*100</f>
        <v>18.818960238883488</v>
      </c>
    </row>
    <row r="10" spans="1:10" ht="16.149999999999999" customHeight="1" x14ac:dyDescent="0.2">
      <c r="A10" s="12">
        <v>3</v>
      </c>
      <c r="B10" s="13" t="s">
        <v>58</v>
      </c>
      <c r="C10" s="12"/>
      <c r="D10" s="12" t="s">
        <v>13</v>
      </c>
      <c r="E10" s="14"/>
      <c r="F10" s="14"/>
      <c r="G10" s="14"/>
      <c r="H10" s="14"/>
      <c r="I10" s="14">
        <f>K96</f>
        <v>513893.73254285718</v>
      </c>
      <c r="J10" s="15">
        <f t="shared" si="0"/>
        <v>4.5764625532056113</v>
      </c>
    </row>
    <row r="11" spans="1:10" ht="16.149999999999999" customHeight="1" x14ac:dyDescent="0.2">
      <c r="A11" s="12">
        <v>4</v>
      </c>
      <c r="B11" s="13" t="s">
        <v>59</v>
      </c>
      <c r="C11" s="12"/>
      <c r="D11" s="12" t="s">
        <v>13</v>
      </c>
      <c r="E11" s="14"/>
      <c r="F11" s="14"/>
      <c r="G11" s="14"/>
      <c r="H11" s="14"/>
      <c r="I11" s="14">
        <f>K101</f>
        <v>250839.07</v>
      </c>
      <c r="J11" s="15">
        <f t="shared" si="0"/>
        <v>2.2338385118175865</v>
      </c>
    </row>
    <row r="12" spans="1:10" ht="16.149999999999999" customHeight="1" x14ac:dyDescent="0.2">
      <c r="A12" s="12">
        <v>5</v>
      </c>
      <c r="B12" s="13" t="s">
        <v>60</v>
      </c>
      <c r="C12" s="12"/>
      <c r="D12" s="12" t="s">
        <v>13</v>
      </c>
      <c r="E12" s="14"/>
      <c r="F12" s="14"/>
      <c r="G12" s="14"/>
      <c r="H12" s="14"/>
      <c r="I12" s="14">
        <f>K111</f>
        <v>774719.58030870126</v>
      </c>
      <c r="J12" s="15">
        <f t="shared" si="0"/>
        <v>6.8992379630204121</v>
      </c>
    </row>
    <row r="13" spans="1:10" ht="16.149999999999999" customHeight="1" x14ac:dyDescent="0.2">
      <c r="A13" s="12">
        <v>6</v>
      </c>
      <c r="B13" s="16" t="s">
        <v>61</v>
      </c>
      <c r="C13" s="12"/>
      <c r="D13" s="12" t="s">
        <v>13</v>
      </c>
      <c r="E13" s="14"/>
      <c r="F13" s="14"/>
      <c r="G13" s="14"/>
      <c r="H13" s="14"/>
      <c r="I13" s="14">
        <f>K122</f>
        <v>1477480.8154</v>
      </c>
      <c r="J13" s="15">
        <f t="shared" si="0"/>
        <v>13.157653414646173</v>
      </c>
    </row>
    <row r="14" spans="1:10" ht="16.149999999999999" customHeight="1" x14ac:dyDescent="0.2">
      <c r="A14" s="12">
        <v>7</v>
      </c>
      <c r="B14" s="13" t="s">
        <v>62</v>
      </c>
      <c r="C14" s="12"/>
      <c r="D14" s="12" t="s">
        <v>13</v>
      </c>
      <c r="E14" s="14"/>
      <c r="F14" s="14"/>
      <c r="G14" s="14"/>
      <c r="H14" s="14"/>
      <c r="I14" s="14">
        <f>K139</f>
        <v>1315718</v>
      </c>
      <c r="J14" s="15">
        <f t="shared" si="0"/>
        <v>11.717080353916204</v>
      </c>
    </row>
    <row r="15" spans="1:10" ht="16.149999999999999" customHeight="1" x14ac:dyDescent="0.2">
      <c r="A15" s="12">
        <v>8</v>
      </c>
      <c r="B15" s="13" t="s">
        <v>63</v>
      </c>
      <c r="C15" s="12"/>
      <c r="D15" s="12" t="s">
        <v>13</v>
      </c>
      <c r="E15" s="14"/>
      <c r="F15" s="14"/>
      <c r="G15" s="14"/>
      <c r="H15" s="14"/>
      <c r="I15" s="14">
        <f>K145</f>
        <v>357716.8504</v>
      </c>
      <c r="J15" s="15">
        <f t="shared" si="0"/>
        <v>3.1856348245495019</v>
      </c>
    </row>
    <row r="16" spans="1:10" ht="16.149999999999999" customHeight="1" x14ac:dyDescent="0.2">
      <c r="A16" s="12">
        <v>9</v>
      </c>
      <c r="B16" s="13" t="s">
        <v>64</v>
      </c>
      <c r="C16" s="12"/>
      <c r="D16" s="12" t="s">
        <v>13</v>
      </c>
      <c r="E16" s="14"/>
      <c r="F16" s="14"/>
      <c r="G16" s="14"/>
      <c r="H16" s="14"/>
      <c r="I16" s="17">
        <f>K162</f>
        <v>699628.71635999996</v>
      </c>
      <c r="J16" s="15">
        <f t="shared" si="0"/>
        <v>6.2305189162855328</v>
      </c>
    </row>
    <row r="17" spans="1:11" ht="16.149999999999999" customHeight="1" x14ac:dyDescent="0.2">
      <c r="A17" s="12">
        <v>10</v>
      </c>
      <c r="B17" s="13" t="s">
        <v>65</v>
      </c>
      <c r="C17" s="12"/>
      <c r="D17" s="12" t="s">
        <v>13</v>
      </c>
      <c r="E17" s="14"/>
      <c r="F17" s="14"/>
      <c r="G17" s="14"/>
      <c r="H17" s="14"/>
      <c r="I17" s="14">
        <f>K179</f>
        <v>348918.63150000002</v>
      </c>
      <c r="J17" s="15">
        <f t="shared" si="0"/>
        <v>3.1072825957112222</v>
      </c>
    </row>
    <row r="18" spans="1:11" ht="16.149999999999999" customHeight="1" x14ac:dyDescent="0.2">
      <c r="A18" s="12">
        <v>11</v>
      </c>
      <c r="B18" s="18" t="s">
        <v>66</v>
      </c>
      <c r="C18" s="12"/>
      <c r="D18" s="12" t="s">
        <v>13</v>
      </c>
      <c r="E18" s="14"/>
      <c r="F18" s="14"/>
      <c r="G18" s="14"/>
      <c r="H18" s="14"/>
      <c r="I18" s="17">
        <f>K229</f>
        <v>705685.174</v>
      </c>
      <c r="J18" s="15">
        <f t="shared" si="0"/>
        <v>6.2844544866949734</v>
      </c>
      <c r="K18" s="187"/>
    </row>
    <row r="19" spans="1:11" ht="16.149999999999999" customHeight="1" x14ac:dyDescent="0.2">
      <c r="A19" s="12">
        <v>12</v>
      </c>
      <c r="B19" s="13" t="s">
        <v>67</v>
      </c>
      <c r="C19" s="12"/>
      <c r="D19" s="12" t="s">
        <v>13</v>
      </c>
      <c r="E19" s="14"/>
      <c r="F19" s="14"/>
      <c r="G19" s="14"/>
      <c r="H19" s="14"/>
      <c r="I19" s="14">
        <f>K291</f>
        <v>1366125.2975000003</v>
      </c>
      <c r="J19" s="15">
        <f t="shared" si="0"/>
        <v>12.165980768162466</v>
      </c>
      <c r="K19" s="187">
        <f>SUM(I8:I19)</f>
        <v>11192160.143470358</v>
      </c>
    </row>
    <row r="20" spans="1:11" ht="16.149999999999999" customHeight="1" x14ac:dyDescent="0.2">
      <c r="A20" s="12">
        <v>13</v>
      </c>
      <c r="B20" s="13" t="s">
        <v>99</v>
      </c>
      <c r="C20" s="12"/>
      <c r="D20" s="12" t="s">
        <v>13</v>
      </c>
      <c r="E20" s="14"/>
      <c r="F20" s="14"/>
      <c r="G20" s="14"/>
      <c r="H20" s="14"/>
      <c r="I20" s="14">
        <f>K295</f>
        <v>36900</v>
      </c>
      <c r="J20" s="15">
        <f t="shared" si="0"/>
        <v>0.32861165163014255</v>
      </c>
      <c r="K20" s="187">
        <f>I20</f>
        <v>36900</v>
      </c>
    </row>
    <row r="21" spans="1:11" ht="16.149999999999999" customHeight="1" x14ac:dyDescent="0.2">
      <c r="A21" s="12"/>
      <c r="B21" s="162"/>
      <c r="C21" s="12"/>
      <c r="D21" s="12"/>
      <c r="E21" s="14"/>
      <c r="F21" s="14"/>
      <c r="G21" s="14"/>
      <c r="H21" s="14"/>
      <c r="I21" s="14"/>
      <c r="J21" s="12"/>
    </row>
    <row r="22" spans="1:11" ht="16.149999999999999" customHeight="1" x14ac:dyDescent="0.2">
      <c r="A22" s="12"/>
      <c r="B22" s="163"/>
      <c r="C22" s="12"/>
      <c r="D22" s="12"/>
      <c r="E22" s="14"/>
      <c r="F22" s="14"/>
      <c r="G22" s="14"/>
      <c r="H22" s="14"/>
      <c r="I22" s="14"/>
      <c r="J22" s="12"/>
    </row>
    <row r="23" spans="1:11" ht="16.149999999999999" customHeight="1" x14ac:dyDescent="0.2">
      <c r="A23" s="12"/>
      <c r="B23" s="163"/>
      <c r="C23" s="12"/>
      <c r="D23" s="12"/>
      <c r="E23" s="14"/>
      <c r="F23" s="14"/>
      <c r="G23" s="14"/>
      <c r="H23" s="14"/>
      <c r="I23" s="14"/>
      <c r="J23" s="12"/>
    </row>
    <row r="24" spans="1:11" ht="16.149999999999999" customHeight="1" x14ac:dyDescent="0.2">
      <c r="A24" s="12"/>
      <c r="B24" s="163"/>
      <c r="C24" s="12"/>
      <c r="D24" s="12"/>
      <c r="E24" s="14"/>
      <c r="F24" s="14"/>
      <c r="G24" s="14"/>
      <c r="H24" s="14"/>
      <c r="I24" s="14"/>
      <c r="J24" s="12"/>
    </row>
    <row r="25" spans="1:11" ht="16.149999999999999" customHeight="1" x14ac:dyDescent="0.2">
      <c r="A25" s="12"/>
      <c r="B25" s="163"/>
      <c r="C25" s="12"/>
      <c r="D25" s="12"/>
      <c r="E25" s="14"/>
      <c r="F25" s="14"/>
      <c r="G25" s="14"/>
      <c r="H25" s="14"/>
      <c r="I25" s="14"/>
      <c r="J25" s="12"/>
    </row>
    <row r="26" spans="1:11" ht="16.149999999999999" customHeight="1" x14ac:dyDescent="0.2">
      <c r="A26" s="12"/>
      <c r="B26" s="163"/>
      <c r="C26" s="12"/>
      <c r="D26" s="12"/>
      <c r="E26" s="14"/>
      <c r="F26" s="14"/>
      <c r="G26" s="14"/>
      <c r="H26" s="14"/>
      <c r="I26" s="14"/>
      <c r="J26" s="12"/>
    </row>
    <row r="27" spans="1:11" ht="16.149999999999999" customHeight="1" x14ac:dyDescent="0.2">
      <c r="A27" s="12"/>
      <c r="B27" s="163"/>
      <c r="C27" s="12"/>
      <c r="D27" s="12"/>
      <c r="E27" s="14"/>
      <c r="F27" s="14"/>
      <c r="G27" s="14"/>
      <c r="H27" s="14"/>
      <c r="I27" s="14"/>
      <c r="J27" s="12"/>
    </row>
    <row r="28" spans="1:11" ht="16.149999999999999" customHeight="1" x14ac:dyDescent="0.2">
      <c r="A28" s="12"/>
      <c r="B28" s="163"/>
      <c r="C28" s="12"/>
      <c r="D28" s="12"/>
      <c r="E28" s="14"/>
      <c r="F28" s="14"/>
      <c r="G28" s="14"/>
      <c r="H28" s="14"/>
      <c r="I28" s="14"/>
      <c r="J28" s="12"/>
    </row>
    <row r="29" spans="1:11" ht="16.149999999999999" customHeight="1" x14ac:dyDescent="0.2">
      <c r="A29" s="12"/>
      <c r="B29" s="163"/>
      <c r="C29" s="12"/>
      <c r="D29" s="12"/>
      <c r="E29" s="14"/>
      <c r="F29" s="14"/>
      <c r="G29" s="14"/>
      <c r="H29" s="14"/>
      <c r="I29" s="14"/>
      <c r="J29" s="12"/>
    </row>
    <row r="30" spans="1:11" ht="16.149999999999999" customHeight="1" x14ac:dyDescent="0.2">
      <c r="A30" s="12"/>
      <c r="B30" s="163"/>
      <c r="C30" s="12"/>
      <c r="D30" s="12"/>
      <c r="E30" s="14"/>
      <c r="F30" s="14"/>
      <c r="G30" s="14"/>
      <c r="H30" s="14"/>
      <c r="I30" s="14"/>
      <c r="J30" s="12"/>
    </row>
    <row r="31" spans="1:11" ht="16.149999999999999" customHeight="1" x14ac:dyDescent="0.2">
      <c r="A31" s="12"/>
      <c r="B31" s="163"/>
      <c r="C31" s="12"/>
      <c r="D31" s="12"/>
      <c r="E31" s="14"/>
      <c r="F31" s="14"/>
      <c r="G31" s="14"/>
      <c r="H31" s="14"/>
      <c r="I31" s="14"/>
      <c r="J31" s="12"/>
    </row>
    <row r="32" spans="1:11" ht="16.149999999999999" customHeight="1" x14ac:dyDescent="0.2">
      <c r="A32" s="12"/>
      <c r="B32" s="163"/>
      <c r="C32" s="12"/>
      <c r="D32" s="12"/>
      <c r="E32" s="14"/>
      <c r="F32" s="14"/>
      <c r="G32" s="14"/>
      <c r="H32" s="14"/>
      <c r="I32" s="14"/>
      <c r="J32" s="12"/>
    </row>
    <row r="33" spans="1:13" ht="16.149999999999999" customHeight="1" x14ac:dyDescent="0.2">
      <c r="A33" s="12"/>
      <c r="B33" s="163"/>
      <c r="C33" s="12"/>
      <c r="D33" s="12"/>
      <c r="E33" s="14"/>
      <c r="F33" s="14"/>
      <c r="G33" s="14"/>
      <c r="H33" s="14"/>
      <c r="I33" s="14"/>
      <c r="J33" s="12"/>
    </row>
    <row r="34" spans="1:13" ht="16.149999999999999" customHeight="1" x14ac:dyDescent="0.2">
      <c r="A34" s="12"/>
      <c r="B34" s="19"/>
      <c r="C34" s="12"/>
      <c r="D34" s="12"/>
      <c r="E34" s="14"/>
      <c r="F34" s="14"/>
      <c r="G34" s="14"/>
      <c r="H34" s="14"/>
      <c r="I34" s="14"/>
      <c r="J34" s="12"/>
    </row>
    <row r="35" spans="1:13" ht="16.149999999999999" customHeight="1" x14ac:dyDescent="0.2">
      <c r="A35" s="20"/>
      <c r="B35" s="145" t="s">
        <v>14</v>
      </c>
      <c r="C35" s="20"/>
      <c r="D35" s="20"/>
      <c r="E35" s="21"/>
      <c r="F35" s="21"/>
      <c r="G35" s="21"/>
      <c r="H35" s="21"/>
      <c r="I35" s="146">
        <f>SUM(I8:I34)</f>
        <v>11229060.143470358</v>
      </c>
      <c r="J35" s="22"/>
    </row>
    <row r="36" spans="1:13" ht="16.149999999999999" customHeight="1" x14ac:dyDescent="0.2">
      <c r="A36" s="171">
        <v>1</v>
      </c>
      <c r="B36" s="161" t="s">
        <v>142</v>
      </c>
      <c r="C36" s="93"/>
      <c r="D36" s="94"/>
      <c r="E36" s="95"/>
      <c r="F36" s="95"/>
      <c r="G36" s="95"/>
      <c r="H36" s="95"/>
      <c r="I36" s="95" t="s">
        <v>0</v>
      </c>
      <c r="J36" s="177"/>
    </row>
    <row r="37" spans="1:13" ht="16.149999999999999" customHeight="1" x14ac:dyDescent="0.2">
      <c r="A37" s="12">
        <v>1.1000000000000001</v>
      </c>
      <c r="B37" s="19" t="s">
        <v>68</v>
      </c>
      <c r="C37" s="23">
        <v>3</v>
      </c>
      <c r="D37" s="24" t="s">
        <v>15</v>
      </c>
      <c r="E37" s="17"/>
      <c r="F37" s="17"/>
      <c r="G37" s="17">
        <v>13500</v>
      </c>
      <c r="H37" s="17">
        <f>+C37*G37</f>
        <v>40500</v>
      </c>
      <c r="I37" s="17">
        <f>H37</f>
        <v>40500</v>
      </c>
      <c r="J37" s="12"/>
    </row>
    <row r="38" spans="1:13" ht="16.149999999999999" customHeight="1" x14ac:dyDescent="0.2">
      <c r="A38" s="12">
        <v>1.2</v>
      </c>
      <c r="B38" s="19" t="s">
        <v>418</v>
      </c>
      <c r="C38" s="23">
        <v>33</v>
      </c>
      <c r="D38" s="49" t="s">
        <v>43</v>
      </c>
      <c r="E38" s="17">
        <v>24571.42</v>
      </c>
      <c r="F38" s="17">
        <f>+C38*E38</f>
        <v>810856.86</v>
      </c>
      <c r="G38" s="17"/>
      <c r="H38" s="17"/>
      <c r="I38" s="17">
        <f>+F38+H38</f>
        <v>810856.86</v>
      </c>
      <c r="J38" s="12"/>
      <c r="L38" s="83"/>
    </row>
    <row r="39" spans="1:13" ht="16.149999999999999" customHeight="1" x14ac:dyDescent="0.2">
      <c r="A39" s="12">
        <v>1.3</v>
      </c>
      <c r="B39" s="19" t="s">
        <v>371</v>
      </c>
      <c r="C39" s="27">
        <v>33</v>
      </c>
      <c r="D39" s="49" t="s">
        <v>43</v>
      </c>
      <c r="E39" s="17"/>
      <c r="F39" s="17"/>
      <c r="G39" s="17">
        <v>600</v>
      </c>
      <c r="H39" s="17">
        <f>+C39*G39</f>
        <v>19800</v>
      </c>
      <c r="I39" s="17">
        <f>H39</f>
        <v>19800</v>
      </c>
      <c r="J39" s="178"/>
    </row>
    <row r="40" spans="1:13" ht="16.149999999999999" customHeight="1" x14ac:dyDescent="0.2">
      <c r="A40" s="12">
        <v>1.4</v>
      </c>
      <c r="B40" s="19" t="s">
        <v>372</v>
      </c>
      <c r="C40" s="27">
        <v>33</v>
      </c>
      <c r="D40" s="49" t="s">
        <v>43</v>
      </c>
      <c r="E40" s="17">
        <v>600</v>
      </c>
      <c r="F40" s="17">
        <f>+C40*E40</f>
        <v>19800</v>
      </c>
      <c r="G40" s="17">
        <v>0</v>
      </c>
      <c r="H40" s="17">
        <f>+C40*G40</f>
        <v>0</v>
      </c>
      <c r="I40" s="17">
        <f>+F40+H40</f>
        <v>19800</v>
      </c>
      <c r="J40" s="178"/>
    </row>
    <row r="41" spans="1:13" ht="16.149999999999999" customHeight="1" x14ac:dyDescent="0.2">
      <c r="A41" s="12">
        <v>1.5</v>
      </c>
      <c r="B41" s="19" t="s">
        <v>373</v>
      </c>
      <c r="C41" s="27">
        <v>2</v>
      </c>
      <c r="D41" s="24" t="s">
        <v>15</v>
      </c>
      <c r="E41" s="17">
        <v>28500</v>
      </c>
      <c r="F41" s="17">
        <f>+C41*E41</f>
        <v>57000</v>
      </c>
      <c r="G41" s="17">
        <v>0</v>
      </c>
      <c r="H41" s="17">
        <f>+C41*G41</f>
        <v>0</v>
      </c>
      <c r="I41" s="17">
        <f>+F41+H41</f>
        <v>57000</v>
      </c>
      <c r="J41" s="178"/>
      <c r="K41" s="152"/>
      <c r="M41" s="144"/>
    </row>
    <row r="42" spans="1:13" ht="16.149999999999999" customHeight="1" x14ac:dyDescent="0.2">
      <c r="A42" s="12">
        <v>1.6</v>
      </c>
      <c r="B42" s="19" t="s">
        <v>136</v>
      </c>
      <c r="C42" s="17">
        <v>112.65</v>
      </c>
      <c r="D42" s="24" t="s">
        <v>16</v>
      </c>
      <c r="E42" s="25"/>
      <c r="F42" s="25"/>
      <c r="G42" s="17">
        <v>142</v>
      </c>
      <c r="H42" s="17">
        <f t="shared" ref="H42" si="1">+C42*G42</f>
        <v>15996.300000000001</v>
      </c>
      <c r="I42" s="17">
        <f>H42</f>
        <v>15996.300000000001</v>
      </c>
      <c r="J42" s="12"/>
    </row>
    <row r="43" spans="1:13" ht="16.149999999999999" customHeight="1" x14ac:dyDescent="0.2">
      <c r="A43" s="12">
        <v>1.7</v>
      </c>
      <c r="B43" s="19" t="s">
        <v>137</v>
      </c>
      <c r="C43" s="26">
        <v>7.11</v>
      </c>
      <c r="D43" s="24" t="s">
        <v>16</v>
      </c>
      <c r="E43" s="17">
        <v>523.37</v>
      </c>
      <c r="F43" s="17">
        <f>+C43*E43</f>
        <v>3721.1607000000004</v>
      </c>
      <c r="G43" s="17">
        <v>104</v>
      </c>
      <c r="H43" s="17">
        <f>+C43*G43</f>
        <v>739.44</v>
      </c>
      <c r="I43" s="17">
        <f>+F43+H43</f>
        <v>4460.6007000000009</v>
      </c>
      <c r="J43" s="12"/>
    </row>
    <row r="44" spans="1:13" ht="16.149999999999999" customHeight="1" x14ac:dyDescent="0.2">
      <c r="A44" s="12">
        <v>1.8</v>
      </c>
      <c r="B44" s="19" t="s">
        <v>284</v>
      </c>
      <c r="C44" s="26">
        <v>2.84</v>
      </c>
      <c r="D44" s="49" t="s">
        <v>16</v>
      </c>
      <c r="E44" s="17">
        <v>1969.63</v>
      </c>
      <c r="F44" s="17">
        <f>+C44*E44</f>
        <v>5593.7492000000002</v>
      </c>
      <c r="G44" s="17">
        <v>426</v>
      </c>
      <c r="H44" s="17">
        <f>+C44*G44</f>
        <v>1209.8399999999999</v>
      </c>
      <c r="I44" s="17">
        <f>+F44+H44</f>
        <v>6803.5892000000003</v>
      </c>
      <c r="J44" s="172"/>
    </row>
    <row r="45" spans="1:13" ht="16.149999999999999" customHeight="1" x14ac:dyDescent="0.2">
      <c r="A45" s="12">
        <v>1.9</v>
      </c>
      <c r="B45" s="119" t="s">
        <v>387</v>
      </c>
      <c r="C45" s="17">
        <v>42.29</v>
      </c>
      <c r="D45" s="24" t="s">
        <v>16</v>
      </c>
      <c r="E45" s="17">
        <v>2032.72</v>
      </c>
      <c r="F45" s="17">
        <f>+C45*E45</f>
        <v>85963.728799999997</v>
      </c>
      <c r="G45" s="17">
        <v>519</v>
      </c>
      <c r="H45" s="17">
        <f>+C45*G45</f>
        <v>21948.51</v>
      </c>
      <c r="I45" s="17">
        <f>+F45+H45</f>
        <v>107912.23879999999</v>
      </c>
      <c r="J45" s="164" t="s">
        <v>110</v>
      </c>
    </row>
    <row r="46" spans="1:13" ht="16.149999999999999" customHeight="1" x14ac:dyDescent="0.2">
      <c r="A46" s="15">
        <v>1.1000000000000001</v>
      </c>
      <c r="B46" s="19" t="s">
        <v>407</v>
      </c>
      <c r="C46" s="17">
        <v>43.95</v>
      </c>
      <c r="D46" s="24" t="s">
        <v>42</v>
      </c>
      <c r="E46" s="17">
        <v>318.87</v>
      </c>
      <c r="F46" s="17">
        <f>+C46*E46</f>
        <v>14014.336500000001</v>
      </c>
      <c r="G46" s="27" t="s">
        <v>0</v>
      </c>
      <c r="H46" s="17" t="s">
        <v>0</v>
      </c>
      <c r="I46" s="17">
        <f>F46</f>
        <v>14014.336500000001</v>
      </c>
      <c r="J46" s="12"/>
    </row>
    <row r="47" spans="1:13" ht="16.149999999999999" customHeight="1" x14ac:dyDescent="0.2">
      <c r="A47" s="12">
        <v>1.1100000000000001</v>
      </c>
      <c r="B47" s="19" t="s">
        <v>408</v>
      </c>
      <c r="C47" s="17">
        <v>87.91</v>
      </c>
      <c r="D47" s="49" t="s">
        <v>42</v>
      </c>
      <c r="E47" s="17" t="s">
        <v>0</v>
      </c>
      <c r="F47" s="37" t="s">
        <v>0</v>
      </c>
      <c r="G47" s="17">
        <v>139</v>
      </c>
      <c r="H47" s="17">
        <f>+C47*G47</f>
        <v>12219.49</v>
      </c>
      <c r="I47" s="17">
        <f>H47</f>
        <v>12219.49</v>
      </c>
      <c r="J47" s="12"/>
    </row>
    <row r="48" spans="1:13" ht="16.149999999999999" customHeight="1" x14ac:dyDescent="0.2">
      <c r="A48" s="12">
        <v>1.1200000000000001</v>
      </c>
      <c r="B48" s="19" t="s">
        <v>409</v>
      </c>
      <c r="C48" s="14">
        <f>C46*0.3</f>
        <v>13.185</v>
      </c>
      <c r="D48" s="12" t="s">
        <v>17</v>
      </c>
      <c r="E48" s="17">
        <v>400</v>
      </c>
      <c r="F48" s="17">
        <f>+C48*E48</f>
        <v>5274</v>
      </c>
      <c r="G48" s="17"/>
      <c r="H48" s="17"/>
      <c r="I48" s="17">
        <f>+F48</f>
        <v>5274</v>
      </c>
      <c r="J48" s="12"/>
    </row>
    <row r="49" spans="1:12" ht="16.149999999999999" customHeight="1" x14ac:dyDescent="0.2">
      <c r="A49" s="12">
        <v>1.1299999999999999</v>
      </c>
      <c r="B49" s="19" t="s">
        <v>30</v>
      </c>
      <c r="C49" s="17">
        <v>10.98</v>
      </c>
      <c r="D49" s="24" t="s">
        <v>18</v>
      </c>
      <c r="E49" s="17">
        <v>30.11</v>
      </c>
      <c r="F49" s="17">
        <f>+C49*E49</f>
        <v>330.6078</v>
      </c>
      <c r="G49" s="17"/>
      <c r="H49" s="17"/>
      <c r="I49" s="17">
        <f>+F49</f>
        <v>330.6078</v>
      </c>
      <c r="J49" s="12"/>
    </row>
    <row r="50" spans="1:12" ht="16.149999999999999" customHeight="1" x14ac:dyDescent="0.2">
      <c r="A50" s="12">
        <v>1.1399999999999999</v>
      </c>
      <c r="B50" s="19" t="s">
        <v>69</v>
      </c>
      <c r="C50" s="17">
        <f>55.67/1000</f>
        <v>5.5670000000000004E-2</v>
      </c>
      <c r="D50" s="24" t="s">
        <v>19</v>
      </c>
      <c r="E50" s="17">
        <v>21154.34</v>
      </c>
      <c r="F50" s="17">
        <f t="shared" ref="F50" si="2">+C50*E50</f>
        <v>1177.6621078000001</v>
      </c>
      <c r="G50" s="17">
        <v>4400</v>
      </c>
      <c r="H50" s="17">
        <f t="shared" ref="H50:H54" si="3">+C50*G50</f>
        <v>244.94800000000001</v>
      </c>
      <c r="I50" s="17">
        <f t="shared" ref="I50:I55" si="4">+F50+H50</f>
        <v>1422.6101078000002</v>
      </c>
      <c r="J50" s="12"/>
    </row>
    <row r="51" spans="1:12" ht="16.149999999999999" customHeight="1" x14ac:dyDescent="0.2">
      <c r="A51" s="12">
        <v>1.1499999999999999</v>
      </c>
      <c r="B51" s="19" t="s">
        <v>120</v>
      </c>
      <c r="C51" s="17">
        <f>478.93/1000</f>
        <v>0.47893000000000002</v>
      </c>
      <c r="D51" s="24" t="s">
        <v>19</v>
      </c>
      <c r="E51" s="17">
        <v>19838.759999999998</v>
      </c>
      <c r="F51" s="17">
        <f>+C51*E51</f>
        <v>9501.3773268000004</v>
      </c>
      <c r="G51" s="17">
        <v>3600</v>
      </c>
      <c r="H51" s="17">
        <f t="shared" si="3"/>
        <v>1724.1480000000001</v>
      </c>
      <c r="I51" s="17">
        <f t="shared" si="4"/>
        <v>11225.525326800001</v>
      </c>
      <c r="J51" s="12"/>
    </row>
    <row r="52" spans="1:12" ht="16.149999999999999" customHeight="1" x14ac:dyDescent="0.2">
      <c r="A52" s="12">
        <v>1.1599999999999999</v>
      </c>
      <c r="B52" s="19" t="s">
        <v>121</v>
      </c>
      <c r="C52" s="17">
        <f>1244.52/1000</f>
        <v>1.2445200000000001</v>
      </c>
      <c r="D52" s="24" t="s">
        <v>19</v>
      </c>
      <c r="E52" s="17">
        <v>19717.91</v>
      </c>
      <c r="F52" s="17">
        <f t="shared" ref="F52:F54" si="5">+C52*E52</f>
        <v>24539.3333532</v>
      </c>
      <c r="G52" s="17">
        <v>3600</v>
      </c>
      <c r="H52" s="17">
        <f t="shared" si="3"/>
        <v>4480.2719999999999</v>
      </c>
      <c r="I52" s="17">
        <f t="shared" si="4"/>
        <v>29019.605353200001</v>
      </c>
      <c r="J52" s="12"/>
    </row>
    <row r="53" spans="1:12" ht="16.149999999999999" customHeight="1" x14ac:dyDescent="0.2">
      <c r="A53" s="12">
        <v>1.17</v>
      </c>
      <c r="B53" s="19" t="s">
        <v>122</v>
      </c>
      <c r="C53" s="17">
        <f>147.93/1000</f>
        <v>0.14793000000000001</v>
      </c>
      <c r="D53" s="24" t="s">
        <v>19</v>
      </c>
      <c r="E53" s="17">
        <v>19593.580000000002</v>
      </c>
      <c r="F53" s="17">
        <f t="shared" si="5"/>
        <v>2898.4782894000004</v>
      </c>
      <c r="G53" s="17">
        <v>3100</v>
      </c>
      <c r="H53" s="17">
        <f t="shared" si="3"/>
        <v>458.58300000000003</v>
      </c>
      <c r="I53" s="17">
        <f t="shared" si="4"/>
        <v>3357.0612894000005</v>
      </c>
      <c r="J53" s="12"/>
    </row>
    <row r="54" spans="1:12" ht="16.149999999999999" customHeight="1" x14ac:dyDescent="0.2">
      <c r="A54" s="12">
        <v>1.18</v>
      </c>
      <c r="B54" s="19" t="s">
        <v>123</v>
      </c>
      <c r="C54" s="17">
        <f>4289.36/1000</f>
        <v>4.2893599999999994</v>
      </c>
      <c r="D54" s="24" t="s">
        <v>19</v>
      </c>
      <c r="E54" s="17">
        <v>20835.810000000001</v>
      </c>
      <c r="F54" s="17">
        <f t="shared" si="5"/>
        <v>89372.289981599999</v>
      </c>
      <c r="G54" s="17">
        <v>3100</v>
      </c>
      <c r="H54" s="17">
        <f t="shared" si="3"/>
        <v>13297.015999999998</v>
      </c>
      <c r="I54" s="17">
        <f t="shared" si="4"/>
        <v>102669.3059816</v>
      </c>
      <c r="J54" s="178"/>
    </row>
    <row r="55" spans="1:12" ht="16.149999999999999" customHeight="1" x14ac:dyDescent="0.2">
      <c r="A55" s="12">
        <v>1.19</v>
      </c>
      <c r="B55" s="19" t="s">
        <v>71</v>
      </c>
      <c r="C55" s="17">
        <v>186.49</v>
      </c>
      <c r="D55" s="24" t="s">
        <v>18</v>
      </c>
      <c r="E55" s="17">
        <v>29.92</v>
      </c>
      <c r="F55" s="17">
        <f t="shared" ref="F55" si="6">+C55*E55</f>
        <v>5579.7808000000005</v>
      </c>
      <c r="G55" s="17"/>
      <c r="H55" s="17"/>
      <c r="I55" s="17">
        <f t="shared" si="4"/>
        <v>5579.7808000000005</v>
      </c>
      <c r="J55" s="178"/>
      <c r="K55" s="187">
        <f>SUM(I37:I55)</f>
        <v>1268241.9118588003</v>
      </c>
      <c r="L55" s="84"/>
    </row>
    <row r="56" spans="1:12" ht="16.149999999999999" customHeight="1" x14ac:dyDescent="0.2">
      <c r="A56" s="12"/>
      <c r="B56" s="19"/>
      <c r="C56" s="27"/>
      <c r="D56" s="49"/>
      <c r="E56" s="17"/>
      <c r="F56" s="17"/>
      <c r="G56" s="17"/>
      <c r="H56" s="17"/>
      <c r="I56" s="17"/>
      <c r="J56" s="178"/>
    </row>
    <row r="57" spans="1:12" ht="16.149999999999999" customHeight="1" x14ac:dyDescent="0.2">
      <c r="A57" s="12">
        <v>2</v>
      </c>
      <c r="B57" s="165" t="s">
        <v>57</v>
      </c>
      <c r="C57" s="89"/>
      <c r="D57" s="88"/>
      <c r="E57" s="89"/>
      <c r="F57" s="89"/>
      <c r="G57" s="89"/>
      <c r="H57" s="89"/>
      <c r="I57" s="89"/>
      <c r="J57" s="12"/>
    </row>
    <row r="58" spans="1:12" ht="16.149999999999999" customHeight="1" x14ac:dyDescent="0.2">
      <c r="A58" s="12">
        <v>2.1</v>
      </c>
      <c r="B58" s="119" t="s">
        <v>387</v>
      </c>
      <c r="C58" s="17">
        <v>175</v>
      </c>
      <c r="D58" s="24" t="s">
        <v>16</v>
      </c>
      <c r="E58" s="17">
        <v>2032.72</v>
      </c>
      <c r="F58" s="17">
        <f>+C58*E58</f>
        <v>355726</v>
      </c>
      <c r="G58" s="17">
        <v>519</v>
      </c>
      <c r="H58" s="17">
        <f>+C58*G58</f>
        <v>90825</v>
      </c>
      <c r="I58" s="17">
        <f>+F58+H58</f>
        <v>446551</v>
      </c>
      <c r="J58" s="164" t="s">
        <v>110</v>
      </c>
    </row>
    <row r="59" spans="1:12" ht="16.149999999999999" customHeight="1" x14ac:dyDescent="0.2">
      <c r="A59" s="12">
        <v>2.2000000000000002</v>
      </c>
      <c r="B59" s="19" t="s">
        <v>138</v>
      </c>
      <c r="C59" s="27" t="s">
        <v>0</v>
      </c>
      <c r="D59" s="12" t="s">
        <v>0</v>
      </c>
      <c r="E59" s="17"/>
      <c r="F59" s="17"/>
      <c r="G59" s="17"/>
      <c r="H59" s="17"/>
      <c r="I59" s="28"/>
      <c r="J59" s="12"/>
    </row>
    <row r="60" spans="1:12" ht="16.149999999999999" customHeight="1" x14ac:dyDescent="0.2">
      <c r="A60" s="12" t="s">
        <v>72</v>
      </c>
      <c r="B60" s="19" t="s">
        <v>407</v>
      </c>
      <c r="C60" s="17">
        <v>943.19</v>
      </c>
      <c r="D60" s="24" t="s">
        <v>42</v>
      </c>
      <c r="E60" s="17">
        <v>318.87</v>
      </c>
      <c r="F60" s="17">
        <f>+C60*E60</f>
        <v>300754.99530000001</v>
      </c>
      <c r="G60" s="27" t="s">
        <v>0</v>
      </c>
      <c r="H60" s="17" t="s">
        <v>0</v>
      </c>
      <c r="I60" s="17">
        <f>F60</f>
        <v>300754.99530000001</v>
      </c>
      <c r="J60" s="12"/>
    </row>
    <row r="61" spans="1:12" ht="16.149999999999999" customHeight="1" x14ac:dyDescent="0.2">
      <c r="A61" s="12" t="s">
        <v>73</v>
      </c>
      <c r="B61" s="19" t="s">
        <v>408</v>
      </c>
      <c r="C61" s="17">
        <v>1886.37</v>
      </c>
      <c r="D61" s="49" t="s">
        <v>42</v>
      </c>
      <c r="E61" s="17" t="s">
        <v>0</v>
      </c>
      <c r="F61" s="37" t="s">
        <v>0</v>
      </c>
      <c r="G61" s="17">
        <v>139</v>
      </c>
      <c r="H61" s="17">
        <f>+C61*G61</f>
        <v>262205.43</v>
      </c>
      <c r="I61" s="17">
        <f>H61</f>
        <v>262205.43</v>
      </c>
      <c r="J61" s="12"/>
    </row>
    <row r="62" spans="1:12" ht="16.149999999999999" customHeight="1" x14ac:dyDescent="0.2">
      <c r="A62" s="12" t="s">
        <v>74</v>
      </c>
      <c r="B62" s="19" t="s">
        <v>409</v>
      </c>
      <c r="C62" s="14">
        <f>C60*0.3</f>
        <v>282.95699999999999</v>
      </c>
      <c r="D62" s="12" t="s">
        <v>17</v>
      </c>
      <c r="E62" s="17">
        <v>400</v>
      </c>
      <c r="F62" s="17">
        <f>+C62*E62</f>
        <v>113182.8</v>
      </c>
      <c r="G62" s="17"/>
      <c r="H62" s="17"/>
      <c r="I62" s="17">
        <f>+F62</f>
        <v>113182.8</v>
      </c>
      <c r="J62" s="12"/>
    </row>
    <row r="63" spans="1:12" ht="16.149999999999999" customHeight="1" x14ac:dyDescent="0.2">
      <c r="A63" s="12" t="s">
        <v>75</v>
      </c>
      <c r="B63" s="19" t="s">
        <v>410</v>
      </c>
      <c r="C63" s="14">
        <v>1106</v>
      </c>
      <c r="D63" s="12" t="s">
        <v>43</v>
      </c>
      <c r="E63" s="17">
        <v>28</v>
      </c>
      <c r="F63" s="17">
        <f>+C63*E63</f>
        <v>30968</v>
      </c>
      <c r="G63" s="17"/>
      <c r="H63" s="17"/>
      <c r="I63" s="17">
        <f>+F63</f>
        <v>30968</v>
      </c>
      <c r="J63" s="12"/>
      <c r="K63" s="84">
        <f>SUM(I58:I63)</f>
        <v>1153662.2253</v>
      </c>
    </row>
    <row r="64" spans="1:12" ht="16.149999999999999" customHeight="1" x14ac:dyDescent="0.2">
      <c r="A64" s="50"/>
      <c r="B64" s="29" t="s">
        <v>22</v>
      </c>
      <c r="C64" s="51"/>
      <c r="D64" s="51"/>
      <c r="E64" s="52"/>
      <c r="F64" s="52"/>
      <c r="G64" s="52"/>
      <c r="H64" s="52"/>
      <c r="I64" s="52">
        <f>SUM(I37:I63)</f>
        <v>2421904.1371588004</v>
      </c>
      <c r="J64" s="34"/>
      <c r="K64" s="84"/>
    </row>
    <row r="65" spans="1:12" ht="16.149999999999999" customHeight="1" x14ac:dyDescent="0.2">
      <c r="A65" s="148"/>
      <c r="B65" s="30" t="s">
        <v>23</v>
      </c>
      <c r="C65" s="53"/>
      <c r="D65" s="53"/>
      <c r="E65" s="54"/>
      <c r="F65" s="54"/>
      <c r="G65" s="54"/>
      <c r="H65" s="54"/>
      <c r="I65" s="54">
        <f>I64</f>
        <v>2421904.1371588004</v>
      </c>
      <c r="J65" s="30"/>
    </row>
    <row r="66" spans="1:12" ht="16.149999999999999" customHeight="1" x14ac:dyDescent="0.2">
      <c r="A66" s="12" t="s">
        <v>76</v>
      </c>
      <c r="B66" s="19" t="s">
        <v>30</v>
      </c>
      <c r="C66" s="17">
        <v>235.8</v>
      </c>
      <c r="D66" s="24" t="s">
        <v>18</v>
      </c>
      <c r="E66" s="17">
        <v>30.11</v>
      </c>
      <c r="F66" s="17">
        <f>+C66*E66</f>
        <v>7099.9380000000001</v>
      </c>
      <c r="G66" s="17"/>
      <c r="H66" s="17"/>
      <c r="I66" s="17">
        <f>+F66</f>
        <v>7099.9380000000001</v>
      </c>
      <c r="J66" s="12"/>
    </row>
    <row r="67" spans="1:12" ht="16.149999999999999" customHeight="1" x14ac:dyDescent="0.2">
      <c r="A67" s="172" t="s">
        <v>118</v>
      </c>
      <c r="B67" s="19" t="s">
        <v>119</v>
      </c>
      <c r="C67" s="17">
        <v>27.29</v>
      </c>
      <c r="D67" s="24" t="s">
        <v>42</v>
      </c>
      <c r="E67" s="17">
        <v>98.5</v>
      </c>
      <c r="F67" s="17">
        <f>+C67*E67</f>
        <v>2688.0650000000001</v>
      </c>
      <c r="G67" s="17">
        <v>21</v>
      </c>
      <c r="H67" s="17">
        <f>+C67*G67</f>
        <v>573.09</v>
      </c>
      <c r="I67" s="17">
        <f>+F67+H67</f>
        <v>3261.1550000000002</v>
      </c>
      <c r="J67" s="172"/>
      <c r="L67" s="86"/>
    </row>
    <row r="68" spans="1:12" ht="16.149999999999999" customHeight="1" x14ac:dyDescent="0.2">
      <c r="A68" s="12">
        <v>2.2999999999999998</v>
      </c>
      <c r="B68" s="19" t="s">
        <v>139</v>
      </c>
      <c r="C68" s="27"/>
      <c r="D68" s="49"/>
      <c r="E68" s="17" t="s">
        <v>0</v>
      </c>
      <c r="F68" s="17"/>
      <c r="G68" s="17"/>
      <c r="H68" s="17"/>
      <c r="I68" s="25"/>
      <c r="J68" s="12"/>
    </row>
    <row r="69" spans="1:12" ht="16.149999999999999" customHeight="1" x14ac:dyDescent="0.2">
      <c r="A69" s="12" t="s">
        <v>77</v>
      </c>
      <c r="B69" s="19" t="s">
        <v>69</v>
      </c>
      <c r="C69" s="17">
        <v>2.19</v>
      </c>
      <c r="D69" s="24" t="s">
        <v>19</v>
      </c>
      <c r="E69" s="17">
        <v>21154.34</v>
      </c>
      <c r="F69" s="17">
        <f t="shared" ref="F69:F75" si="7">+C69*E69</f>
        <v>46328.0046</v>
      </c>
      <c r="G69" s="17">
        <v>4400</v>
      </c>
      <c r="H69" s="17">
        <f t="shared" ref="H69:H74" si="8">+C69*G69</f>
        <v>9636</v>
      </c>
      <c r="I69" s="17">
        <f t="shared" ref="I69:I75" si="9">+F69+H69</f>
        <v>55964.0046</v>
      </c>
      <c r="J69" s="12"/>
    </row>
    <row r="70" spans="1:12" ht="16.149999999999999" customHeight="1" x14ac:dyDescent="0.2">
      <c r="A70" s="12" t="s">
        <v>78</v>
      </c>
      <c r="B70" s="19" t="s">
        <v>70</v>
      </c>
      <c r="C70" s="17">
        <v>5.71</v>
      </c>
      <c r="D70" s="24" t="s">
        <v>19</v>
      </c>
      <c r="E70" s="17">
        <v>20133.73</v>
      </c>
      <c r="F70" s="17">
        <f t="shared" si="7"/>
        <v>114963.5983</v>
      </c>
      <c r="G70" s="17">
        <v>4400</v>
      </c>
      <c r="H70" s="17">
        <f t="shared" si="8"/>
        <v>25124</v>
      </c>
      <c r="I70" s="17">
        <f t="shared" si="9"/>
        <v>140087.59830000001</v>
      </c>
      <c r="J70" s="12"/>
    </row>
    <row r="71" spans="1:12" ht="16.149999999999999" customHeight="1" x14ac:dyDescent="0.2">
      <c r="A71" s="12" t="s">
        <v>79</v>
      </c>
      <c r="B71" s="19" t="s">
        <v>120</v>
      </c>
      <c r="C71" s="17">
        <v>2.2400000000000002</v>
      </c>
      <c r="D71" s="24" t="s">
        <v>19</v>
      </c>
      <c r="E71" s="17">
        <v>19838.759999999998</v>
      </c>
      <c r="F71" s="17">
        <f>+C71*E71</f>
        <v>44438.822399999997</v>
      </c>
      <c r="G71" s="17">
        <v>3600</v>
      </c>
      <c r="H71" s="17">
        <f t="shared" si="8"/>
        <v>8064.0000000000009</v>
      </c>
      <c r="I71" s="17">
        <f t="shared" si="9"/>
        <v>52502.822399999997</v>
      </c>
      <c r="J71" s="12"/>
    </row>
    <row r="72" spans="1:12" ht="16.149999999999999" customHeight="1" x14ac:dyDescent="0.2">
      <c r="A72" s="12" t="s">
        <v>75</v>
      </c>
      <c r="B72" s="19" t="s">
        <v>121</v>
      </c>
      <c r="C72" s="17">
        <v>3.23</v>
      </c>
      <c r="D72" s="24" t="s">
        <v>19</v>
      </c>
      <c r="E72" s="17">
        <v>19717.91</v>
      </c>
      <c r="F72" s="17">
        <f t="shared" si="7"/>
        <v>63688.849300000002</v>
      </c>
      <c r="G72" s="17">
        <v>3600</v>
      </c>
      <c r="H72" s="17">
        <f t="shared" si="8"/>
        <v>11628</v>
      </c>
      <c r="I72" s="17">
        <f t="shared" si="9"/>
        <v>75316.849300000002</v>
      </c>
      <c r="J72" s="12"/>
    </row>
    <row r="73" spans="1:12" ht="16.149999999999999" customHeight="1" x14ac:dyDescent="0.2">
      <c r="A73" s="12" t="s">
        <v>80</v>
      </c>
      <c r="B73" s="19" t="s">
        <v>122</v>
      </c>
      <c r="C73" s="17">
        <v>4.4400000000000004</v>
      </c>
      <c r="D73" s="24" t="s">
        <v>19</v>
      </c>
      <c r="E73" s="17">
        <v>19593.580000000002</v>
      </c>
      <c r="F73" s="17">
        <f t="shared" si="7"/>
        <v>86995.495200000019</v>
      </c>
      <c r="G73" s="17">
        <v>3100</v>
      </c>
      <c r="H73" s="17">
        <f t="shared" si="8"/>
        <v>13764.000000000002</v>
      </c>
      <c r="I73" s="17">
        <f t="shared" si="9"/>
        <v>100759.49520000002</v>
      </c>
      <c r="J73" s="12"/>
    </row>
    <row r="74" spans="1:12" ht="16.149999999999999" customHeight="1" x14ac:dyDescent="0.2">
      <c r="A74" s="12" t="s">
        <v>81</v>
      </c>
      <c r="B74" s="19" t="s">
        <v>123</v>
      </c>
      <c r="C74" s="17">
        <v>8.7200000000000006</v>
      </c>
      <c r="D74" s="24" t="s">
        <v>19</v>
      </c>
      <c r="E74" s="17">
        <v>20835.810000000001</v>
      </c>
      <c r="F74" s="17">
        <f t="shared" si="7"/>
        <v>181688.26320000002</v>
      </c>
      <c r="G74" s="17">
        <v>3100</v>
      </c>
      <c r="H74" s="17">
        <f t="shared" si="8"/>
        <v>27032.000000000004</v>
      </c>
      <c r="I74" s="17">
        <f t="shared" si="9"/>
        <v>208720.26320000002</v>
      </c>
      <c r="J74" s="178"/>
    </row>
    <row r="75" spans="1:12" ht="16.149999999999999" customHeight="1" x14ac:dyDescent="0.2">
      <c r="A75" s="12" t="s">
        <v>82</v>
      </c>
      <c r="B75" s="19" t="s">
        <v>71</v>
      </c>
      <c r="C75" s="17">
        <v>795.67</v>
      </c>
      <c r="D75" s="24" t="s">
        <v>18</v>
      </c>
      <c r="E75" s="17">
        <v>32.71</v>
      </c>
      <c r="F75" s="17">
        <f t="shared" si="7"/>
        <v>26026.365699999998</v>
      </c>
      <c r="G75" s="17"/>
      <c r="H75" s="17"/>
      <c r="I75" s="17">
        <f t="shared" si="9"/>
        <v>26026.365699999998</v>
      </c>
      <c r="J75" s="178"/>
    </row>
    <row r="76" spans="1:12" ht="16.149999999999999" customHeight="1" x14ac:dyDescent="0.2">
      <c r="A76" s="12">
        <v>2.4</v>
      </c>
      <c r="B76" s="19" t="s">
        <v>207</v>
      </c>
      <c r="C76" s="17">
        <v>491.25</v>
      </c>
      <c r="D76" s="24" t="s">
        <v>42</v>
      </c>
      <c r="E76" s="17">
        <v>385</v>
      </c>
      <c r="F76" s="17">
        <f>+C76*E76</f>
        <v>189131.25</v>
      </c>
      <c r="G76" s="17">
        <v>35</v>
      </c>
      <c r="H76" s="17">
        <f>+C76*G76</f>
        <v>17193.75</v>
      </c>
      <c r="I76" s="17">
        <f>+F76+H76</f>
        <v>206325</v>
      </c>
      <c r="J76" s="12"/>
    </row>
    <row r="77" spans="1:12" ht="16.149999999999999" customHeight="1" x14ac:dyDescent="0.2">
      <c r="A77" s="12" t="s">
        <v>83</v>
      </c>
      <c r="B77" s="19" t="s">
        <v>208</v>
      </c>
      <c r="C77" s="17">
        <v>491.25</v>
      </c>
      <c r="D77" s="24" t="s">
        <v>42</v>
      </c>
      <c r="E77" s="17">
        <v>33</v>
      </c>
      <c r="F77" s="17">
        <f>+C77*E77</f>
        <v>16211.25</v>
      </c>
      <c r="G77" s="17">
        <v>5</v>
      </c>
      <c r="H77" s="17">
        <f>+C77*G77</f>
        <v>2456.25</v>
      </c>
      <c r="I77" s="17">
        <f>+F77+H77</f>
        <v>18667.5</v>
      </c>
      <c r="J77" s="12"/>
    </row>
    <row r="78" spans="1:12" ht="16.149999999999999" customHeight="1" x14ac:dyDescent="0.2">
      <c r="A78" s="12" t="s">
        <v>84</v>
      </c>
      <c r="B78" s="19" t="s">
        <v>140</v>
      </c>
      <c r="C78" s="17">
        <v>491.25</v>
      </c>
      <c r="D78" s="24" t="s">
        <v>20</v>
      </c>
      <c r="E78" s="17">
        <f>E58/20</f>
        <v>101.636</v>
      </c>
      <c r="F78" s="17">
        <f>+C78*E78</f>
        <v>49928.684999999998</v>
      </c>
      <c r="G78" s="17">
        <v>25.95</v>
      </c>
      <c r="H78" s="17">
        <f>+C78*G78</f>
        <v>12747.9375</v>
      </c>
      <c r="I78" s="17">
        <f>+F78+H78</f>
        <v>62676.622499999998</v>
      </c>
      <c r="J78" s="172"/>
    </row>
    <row r="79" spans="1:12" ht="16.149999999999999" customHeight="1" x14ac:dyDescent="0.2">
      <c r="A79" s="12" t="s">
        <v>85</v>
      </c>
      <c r="B79" s="19" t="s">
        <v>69</v>
      </c>
      <c r="C79" s="17">
        <v>0.08</v>
      </c>
      <c r="D79" s="24" t="s">
        <v>19</v>
      </c>
      <c r="E79" s="17">
        <f>E69</f>
        <v>21154.34</v>
      </c>
      <c r="F79" s="17">
        <f>+C79*E79</f>
        <v>1692.3472000000002</v>
      </c>
      <c r="G79" s="17">
        <v>4400</v>
      </c>
      <c r="H79" s="17">
        <f>+C79*G79</f>
        <v>352</v>
      </c>
      <c r="I79" s="17">
        <f>+F79+H79</f>
        <v>2044.3472000000002</v>
      </c>
      <c r="J79" s="12"/>
      <c r="K79" s="84">
        <f>SUM(I66:I80)</f>
        <v>959530.13829999988</v>
      </c>
    </row>
    <row r="80" spans="1:12" ht="16.149999999999999" customHeight="1" x14ac:dyDescent="0.2">
      <c r="A80" s="12" t="s">
        <v>86</v>
      </c>
      <c r="B80" s="19" t="s">
        <v>71</v>
      </c>
      <c r="C80" s="17">
        <v>2.39</v>
      </c>
      <c r="D80" s="24" t="s">
        <v>21</v>
      </c>
      <c r="E80" s="17">
        <f>E75</f>
        <v>32.71</v>
      </c>
      <c r="F80" s="17">
        <f>+C80*E80</f>
        <v>78.176900000000003</v>
      </c>
      <c r="G80" s="17"/>
      <c r="H80" s="17"/>
      <c r="I80" s="17">
        <f>F80</f>
        <v>78.176900000000003</v>
      </c>
      <c r="J80" s="12"/>
      <c r="K80" s="187">
        <f>K63+K79</f>
        <v>2113192.3635999998</v>
      </c>
    </row>
    <row r="81" spans="1:12" ht="16.149999999999999" customHeight="1" x14ac:dyDescent="0.2">
      <c r="A81" s="12"/>
      <c r="B81" s="13"/>
      <c r="C81" s="17"/>
      <c r="D81" s="24"/>
      <c r="E81" s="17"/>
      <c r="F81" s="17"/>
      <c r="G81" s="17"/>
      <c r="H81" s="17"/>
      <c r="I81" s="17"/>
      <c r="J81" s="178"/>
      <c r="L81" s="153"/>
    </row>
    <row r="82" spans="1:12" ht="16.149999999999999" customHeight="1" x14ac:dyDescent="0.2">
      <c r="A82" s="80">
        <v>3</v>
      </c>
      <c r="B82" s="165" t="s">
        <v>58</v>
      </c>
      <c r="C82" s="89"/>
      <c r="D82" s="88"/>
      <c r="E82" s="89"/>
      <c r="F82" s="89"/>
      <c r="G82" s="89"/>
      <c r="H82" s="89"/>
      <c r="I82" s="89"/>
      <c r="J82" s="12"/>
    </row>
    <row r="83" spans="1:12" ht="16.149999999999999" customHeight="1" x14ac:dyDescent="0.2">
      <c r="A83" s="12">
        <v>3.1</v>
      </c>
      <c r="B83" s="19" t="s">
        <v>209</v>
      </c>
      <c r="C83" s="17">
        <v>883.26</v>
      </c>
      <c r="D83" s="24" t="s">
        <v>24</v>
      </c>
      <c r="E83" s="17">
        <v>24.73</v>
      </c>
      <c r="F83" s="17">
        <f t="shared" ref="F83:F96" si="10">+C83*E83</f>
        <v>21843.019800000002</v>
      </c>
      <c r="G83" s="17">
        <v>10</v>
      </c>
      <c r="H83" s="17">
        <f t="shared" ref="H83:H90" si="11">+C83*G83</f>
        <v>8832.6</v>
      </c>
      <c r="I83" s="17">
        <f>+F83+H83</f>
        <v>30675.6198</v>
      </c>
      <c r="J83" s="12"/>
    </row>
    <row r="84" spans="1:12" ht="16.149999999999999" customHeight="1" x14ac:dyDescent="0.2">
      <c r="A84" s="12">
        <v>3.2</v>
      </c>
      <c r="B84" s="19" t="s">
        <v>141</v>
      </c>
      <c r="C84" s="17">
        <v>1291.08</v>
      </c>
      <c r="D84" s="24" t="s">
        <v>24</v>
      </c>
      <c r="E84" s="17">
        <v>25.96</v>
      </c>
      <c r="F84" s="17">
        <f t="shared" si="10"/>
        <v>33516.436799999996</v>
      </c>
      <c r="G84" s="17">
        <v>10</v>
      </c>
      <c r="H84" s="17">
        <f t="shared" si="11"/>
        <v>12910.8</v>
      </c>
      <c r="I84" s="17">
        <f t="shared" ref="I84:I90" si="12">+F84+H84</f>
        <v>46427.236799999999</v>
      </c>
      <c r="J84" s="178"/>
    </row>
    <row r="85" spans="1:12" ht="16.149999999999999" customHeight="1" x14ac:dyDescent="0.2">
      <c r="A85" s="12">
        <v>3.3</v>
      </c>
      <c r="B85" s="19" t="s">
        <v>236</v>
      </c>
      <c r="C85" s="19">
        <v>17.760000000000002</v>
      </c>
      <c r="D85" s="24" t="s">
        <v>24</v>
      </c>
      <c r="E85" s="17">
        <v>20.13</v>
      </c>
      <c r="F85" s="17">
        <f t="shared" si="10"/>
        <v>357.50880000000001</v>
      </c>
      <c r="G85" s="17">
        <v>10</v>
      </c>
      <c r="H85" s="17">
        <f t="shared" si="11"/>
        <v>177.60000000000002</v>
      </c>
      <c r="I85" s="17">
        <f t="shared" si="12"/>
        <v>535.10879999999997</v>
      </c>
      <c r="J85" s="178"/>
      <c r="L85" s="83"/>
    </row>
    <row r="86" spans="1:12" ht="16.149999999999999" customHeight="1" x14ac:dyDescent="0.2">
      <c r="A86" s="12">
        <v>3.4</v>
      </c>
      <c r="B86" s="19" t="s">
        <v>235</v>
      </c>
      <c r="C86" s="19">
        <v>21.94</v>
      </c>
      <c r="D86" s="24" t="s">
        <v>24</v>
      </c>
      <c r="E86" s="17">
        <f>2105/70</f>
        <v>30.071428571428573</v>
      </c>
      <c r="F86" s="17">
        <f t="shared" si="10"/>
        <v>659.76714285714297</v>
      </c>
      <c r="G86" s="17">
        <v>10</v>
      </c>
      <c r="H86" s="17">
        <f t="shared" si="11"/>
        <v>219.4</v>
      </c>
      <c r="I86" s="17">
        <f t="shared" si="12"/>
        <v>879.16714285714295</v>
      </c>
      <c r="J86" s="178"/>
      <c r="L86" s="83"/>
    </row>
    <row r="87" spans="1:12" ht="16.149999999999999" customHeight="1" x14ac:dyDescent="0.2">
      <c r="A87" s="12">
        <v>3.5</v>
      </c>
      <c r="B87" s="19" t="s">
        <v>388</v>
      </c>
      <c r="C87" s="24">
        <v>248.8</v>
      </c>
      <c r="D87" s="24" t="s">
        <v>25</v>
      </c>
      <c r="E87" s="17">
        <v>62</v>
      </c>
      <c r="F87" s="17">
        <f t="shared" si="10"/>
        <v>15425.6</v>
      </c>
      <c r="G87" s="17">
        <v>35</v>
      </c>
      <c r="H87" s="17">
        <f t="shared" si="11"/>
        <v>8708</v>
      </c>
      <c r="I87" s="17">
        <f t="shared" si="12"/>
        <v>24133.599999999999</v>
      </c>
      <c r="J87" s="12"/>
    </row>
    <row r="88" spans="1:12" ht="16.149999999999999" customHeight="1" x14ac:dyDescent="0.2">
      <c r="A88" s="12">
        <v>3.6</v>
      </c>
      <c r="B88" s="119" t="s">
        <v>210</v>
      </c>
      <c r="C88" s="37">
        <v>333</v>
      </c>
      <c r="D88" s="24" t="s">
        <v>42</v>
      </c>
      <c r="E88" s="17">
        <v>540</v>
      </c>
      <c r="F88" s="17">
        <f t="shared" si="10"/>
        <v>179820</v>
      </c>
      <c r="G88" s="17">
        <v>150</v>
      </c>
      <c r="H88" s="17">
        <f t="shared" si="11"/>
        <v>49950</v>
      </c>
      <c r="I88" s="17">
        <f t="shared" si="12"/>
        <v>229770</v>
      </c>
      <c r="J88" s="12"/>
    </row>
    <row r="89" spans="1:12" ht="16.149999999999999" customHeight="1" x14ac:dyDescent="0.2">
      <c r="A89" s="12">
        <v>3.7</v>
      </c>
      <c r="B89" s="31" t="s">
        <v>154</v>
      </c>
      <c r="C89" s="37">
        <v>333</v>
      </c>
      <c r="D89" s="24" t="s">
        <v>42</v>
      </c>
      <c r="E89" s="17">
        <v>200</v>
      </c>
      <c r="F89" s="17">
        <f t="shared" si="10"/>
        <v>66600</v>
      </c>
      <c r="G89" s="17">
        <v>80</v>
      </c>
      <c r="H89" s="17">
        <f t="shared" si="11"/>
        <v>26640</v>
      </c>
      <c r="I89" s="17">
        <f t="shared" si="12"/>
        <v>93240</v>
      </c>
      <c r="J89" s="159"/>
    </row>
    <row r="90" spans="1:12" ht="16.149999999999999" customHeight="1" x14ac:dyDescent="0.2">
      <c r="A90" s="12">
        <v>3.8</v>
      </c>
      <c r="B90" s="31" t="s">
        <v>230</v>
      </c>
      <c r="C90" s="37">
        <v>333</v>
      </c>
      <c r="D90" s="24" t="s">
        <v>42</v>
      </c>
      <c r="E90" s="17">
        <v>90</v>
      </c>
      <c r="F90" s="17">
        <f t="shared" si="10"/>
        <v>29970</v>
      </c>
      <c r="G90" s="17">
        <v>45</v>
      </c>
      <c r="H90" s="17">
        <f t="shared" si="11"/>
        <v>14985</v>
      </c>
      <c r="I90" s="17">
        <f t="shared" si="12"/>
        <v>44955</v>
      </c>
      <c r="J90" s="159"/>
    </row>
    <row r="91" spans="1:12" ht="16.149999999999999" customHeight="1" x14ac:dyDescent="0.2">
      <c r="A91" s="12">
        <v>3.9</v>
      </c>
      <c r="B91" s="31" t="s">
        <v>231</v>
      </c>
      <c r="C91" s="37">
        <v>22</v>
      </c>
      <c r="D91" s="24" t="s">
        <v>26</v>
      </c>
      <c r="E91" s="17">
        <v>255</v>
      </c>
      <c r="F91" s="17">
        <f>+C91*E91</f>
        <v>5610</v>
      </c>
      <c r="G91" s="17">
        <v>50</v>
      </c>
      <c r="H91" s="17">
        <f>+C91*G91</f>
        <v>1100</v>
      </c>
      <c r="I91" s="17">
        <f>+F91+H91</f>
        <v>6710</v>
      </c>
      <c r="J91" s="159"/>
    </row>
    <row r="92" spans="1:12" ht="16.149999999999999" customHeight="1" x14ac:dyDescent="0.2">
      <c r="A92" s="15">
        <v>3.1</v>
      </c>
      <c r="B92" s="31" t="s">
        <v>232</v>
      </c>
      <c r="C92" s="37">
        <v>30</v>
      </c>
      <c r="D92" s="24" t="s">
        <v>26</v>
      </c>
      <c r="E92" s="17">
        <v>350</v>
      </c>
      <c r="F92" s="17">
        <f>+C92*E92</f>
        <v>10500</v>
      </c>
      <c r="G92" s="17">
        <v>50</v>
      </c>
      <c r="H92" s="17">
        <f>+C92*G92</f>
        <v>1500</v>
      </c>
      <c r="I92" s="17">
        <f>+F92+H92</f>
        <v>12000</v>
      </c>
      <c r="J92" s="179"/>
      <c r="K92" s="84">
        <f>SUM(I83:I92)</f>
        <v>489325.73254285718</v>
      </c>
      <c r="L92" s="83"/>
    </row>
    <row r="93" spans="1:12" ht="16.149999999999999" customHeight="1" x14ac:dyDescent="0.2">
      <c r="A93" s="43"/>
      <c r="B93" s="32" t="s">
        <v>22</v>
      </c>
      <c r="C93" s="55"/>
      <c r="D93" s="55"/>
      <c r="E93" s="56"/>
      <c r="F93" s="56"/>
      <c r="G93" s="56"/>
      <c r="H93" s="56"/>
      <c r="I93" s="56">
        <f>SUM(I65:I92)</f>
        <v>3870760.0080016581</v>
      </c>
      <c r="J93" s="180"/>
    </row>
    <row r="94" spans="1:12" ht="16.149999999999999" customHeight="1" x14ac:dyDescent="0.2">
      <c r="A94" s="57"/>
      <c r="B94" s="33" t="s">
        <v>23</v>
      </c>
      <c r="C94" s="58"/>
      <c r="D94" s="58"/>
      <c r="E94" s="59"/>
      <c r="F94" s="59"/>
      <c r="G94" s="59"/>
      <c r="H94" s="59"/>
      <c r="I94" s="59">
        <f>I93</f>
        <v>3870760.0080016581</v>
      </c>
      <c r="J94" s="33"/>
    </row>
    <row r="95" spans="1:12" ht="16.149999999999999" customHeight="1" x14ac:dyDescent="0.2">
      <c r="A95" s="15">
        <v>3.11</v>
      </c>
      <c r="B95" s="31" t="s">
        <v>143</v>
      </c>
      <c r="C95" s="37">
        <v>74</v>
      </c>
      <c r="D95" s="24" t="s">
        <v>26</v>
      </c>
      <c r="E95" s="17">
        <v>165</v>
      </c>
      <c r="F95" s="17">
        <f t="shared" si="10"/>
        <v>12210</v>
      </c>
      <c r="G95" s="17">
        <v>94</v>
      </c>
      <c r="H95" s="17">
        <f>+C95*G95</f>
        <v>6956</v>
      </c>
      <c r="I95" s="17">
        <f>+F95+H95</f>
        <v>19166</v>
      </c>
      <c r="J95" s="179"/>
      <c r="K95" s="84">
        <f>SUM(I95:I96)</f>
        <v>24568</v>
      </c>
      <c r="L95" s="83"/>
    </row>
    <row r="96" spans="1:12" ht="16.149999999999999" customHeight="1" x14ac:dyDescent="0.2">
      <c r="A96" s="15">
        <v>3.12</v>
      </c>
      <c r="B96" s="92" t="s">
        <v>144</v>
      </c>
      <c r="C96" s="37">
        <v>74</v>
      </c>
      <c r="D96" s="24" t="s">
        <v>26</v>
      </c>
      <c r="E96" s="17">
        <v>220</v>
      </c>
      <c r="F96" s="17">
        <f t="shared" si="10"/>
        <v>16280</v>
      </c>
      <c r="G96" s="17">
        <v>73</v>
      </c>
      <c r="H96" s="17">
        <f>+C96*G96</f>
        <v>5402</v>
      </c>
      <c r="I96" s="17">
        <f>H96</f>
        <v>5402</v>
      </c>
      <c r="J96" s="179"/>
      <c r="K96" s="187">
        <f>K92+K95</f>
        <v>513893.73254285718</v>
      </c>
    </row>
    <row r="97" spans="1:12" ht="16.149999999999999" customHeight="1" x14ac:dyDescent="0.2">
      <c r="A97" s="15"/>
      <c r="B97" s="92"/>
      <c r="C97" s="37"/>
      <c r="D97" s="24"/>
      <c r="E97" s="17"/>
      <c r="F97" s="17"/>
      <c r="G97" s="17"/>
      <c r="H97" s="17"/>
      <c r="I97" s="17"/>
      <c r="J97" s="179"/>
    </row>
    <row r="98" spans="1:12" ht="16.149999999999999" customHeight="1" x14ac:dyDescent="0.2">
      <c r="A98" s="80">
        <v>4</v>
      </c>
      <c r="B98" s="165" t="s">
        <v>59</v>
      </c>
      <c r="C98" s="88"/>
      <c r="D98" s="88"/>
      <c r="E98" s="89"/>
      <c r="F98" s="89"/>
      <c r="G98" s="89"/>
      <c r="H98" s="89"/>
      <c r="I98" s="89"/>
      <c r="J98" s="159"/>
    </row>
    <row r="99" spans="1:12" ht="16.149999999999999" customHeight="1" x14ac:dyDescent="0.2">
      <c r="A99" s="12">
        <v>4.0999999999999996</v>
      </c>
      <c r="B99" s="19" t="s">
        <v>211</v>
      </c>
      <c r="C99" s="24">
        <v>545.25</v>
      </c>
      <c r="D99" s="24" t="s">
        <v>42</v>
      </c>
      <c r="E99" s="17">
        <v>281</v>
      </c>
      <c r="F99" s="17">
        <f>+C99*E99</f>
        <v>153215.25</v>
      </c>
      <c r="G99" s="17">
        <v>75</v>
      </c>
      <c r="H99" s="17">
        <f>+C99*G99</f>
        <v>40893.75</v>
      </c>
      <c r="I99" s="17">
        <f>+F99+H99</f>
        <v>194109</v>
      </c>
      <c r="J99" s="159"/>
    </row>
    <row r="100" spans="1:12" ht="16.149999999999999" customHeight="1" x14ac:dyDescent="0.2">
      <c r="A100" s="12">
        <v>4.2</v>
      </c>
      <c r="B100" s="16" t="s">
        <v>212</v>
      </c>
      <c r="C100" s="24">
        <v>48.75</v>
      </c>
      <c r="D100" s="24" t="s">
        <v>42</v>
      </c>
      <c r="E100" s="17">
        <v>393</v>
      </c>
      <c r="F100" s="17">
        <f>+C100*E100</f>
        <v>19158.75</v>
      </c>
      <c r="G100" s="17">
        <v>52</v>
      </c>
      <c r="H100" s="17">
        <f>+C100*G100</f>
        <v>2535</v>
      </c>
      <c r="I100" s="17">
        <f>+F100+H100</f>
        <v>21693.75</v>
      </c>
      <c r="J100" s="159"/>
    </row>
    <row r="101" spans="1:12" ht="16.149999999999999" customHeight="1" x14ac:dyDescent="0.2">
      <c r="A101" s="12">
        <v>4.3</v>
      </c>
      <c r="B101" s="16" t="s">
        <v>213</v>
      </c>
      <c r="C101" s="24">
        <v>187.36</v>
      </c>
      <c r="D101" s="24" t="s">
        <v>42</v>
      </c>
      <c r="E101" s="17">
        <v>100</v>
      </c>
      <c r="F101" s="17">
        <f>+C101*E101</f>
        <v>18736</v>
      </c>
      <c r="G101" s="17">
        <v>87</v>
      </c>
      <c r="H101" s="17">
        <f>+C101*G101</f>
        <v>16300.320000000002</v>
      </c>
      <c r="I101" s="17">
        <f>+F101+H101</f>
        <v>35036.32</v>
      </c>
      <c r="J101" s="179"/>
      <c r="K101" s="187">
        <f>SUM(I99:I101)</f>
        <v>250839.07</v>
      </c>
    </row>
    <row r="102" spans="1:12" ht="16.149999999999999" customHeight="1" x14ac:dyDescent="0.2">
      <c r="A102" s="12"/>
      <c r="B102" s="16"/>
      <c r="C102" s="24"/>
      <c r="D102" s="24"/>
      <c r="E102" s="17"/>
      <c r="F102" s="17"/>
      <c r="G102" s="17"/>
      <c r="H102" s="17"/>
      <c r="I102" s="17"/>
      <c r="J102" s="179"/>
    </row>
    <row r="103" spans="1:12" ht="16.149999999999999" customHeight="1" x14ac:dyDescent="0.2">
      <c r="A103" s="80">
        <v>5</v>
      </c>
      <c r="B103" s="165" t="s">
        <v>60</v>
      </c>
      <c r="C103" s="88"/>
      <c r="D103" s="88"/>
      <c r="E103" s="89"/>
      <c r="F103" s="89"/>
      <c r="G103" s="89"/>
      <c r="H103" s="89"/>
      <c r="I103" s="89"/>
      <c r="J103" s="159"/>
    </row>
    <row r="104" spans="1:12" ht="16.149999999999999" customHeight="1" x14ac:dyDescent="0.2">
      <c r="A104" s="12">
        <v>5.0999999999999996</v>
      </c>
      <c r="B104" s="13" t="s">
        <v>214</v>
      </c>
      <c r="C104" s="17">
        <v>37.5</v>
      </c>
      <c r="D104" s="24" t="s">
        <v>42</v>
      </c>
      <c r="E104" s="17">
        <f>[1]ราคา!F112+[1]ราคา!F116</f>
        <v>456.69139189870003</v>
      </c>
      <c r="F104" s="17">
        <f>+C104*E104</f>
        <v>17125.92719620125</v>
      </c>
      <c r="G104" s="17">
        <f>40+[1]ราคา!H116</f>
        <v>153.66608300000001</v>
      </c>
      <c r="H104" s="17">
        <f>+C104*G104</f>
        <v>5762.4781125000009</v>
      </c>
      <c r="I104" s="17">
        <f>+F104+H104</f>
        <v>22888.405308701251</v>
      </c>
      <c r="J104" s="159"/>
      <c r="L104" s="83"/>
    </row>
    <row r="105" spans="1:12" ht="16.149999999999999" customHeight="1" x14ac:dyDescent="0.2">
      <c r="A105" s="12">
        <v>5.2</v>
      </c>
      <c r="B105" s="19" t="s">
        <v>215</v>
      </c>
      <c r="C105" s="17">
        <v>441.7</v>
      </c>
      <c r="D105" s="24" t="s">
        <v>42</v>
      </c>
      <c r="E105" s="17">
        <v>630</v>
      </c>
      <c r="F105" s="17">
        <f>+C105*E105</f>
        <v>278271</v>
      </c>
      <c r="G105" s="17">
        <v>192</v>
      </c>
      <c r="H105" s="17">
        <f>+C105*G105</f>
        <v>84806.399999999994</v>
      </c>
      <c r="I105" s="17">
        <f>+F105+H105</f>
        <v>363077.4</v>
      </c>
      <c r="J105" s="159"/>
    </row>
    <row r="106" spans="1:12" ht="16.149999999999999" customHeight="1" x14ac:dyDescent="0.2">
      <c r="A106" s="12">
        <v>5.3</v>
      </c>
      <c r="B106" s="19" t="s">
        <v>216</v>
      </c>
      <c r="C106" s="17">
        <v>342.7</v>
      </c>
      <c r="D106" s="24" t="s">
        <v>42</v>
      </c>
      <c r="E106" s="17">
        <v>356</v>
      </c>
      <c r="F106" s="17">
        <f t="shared" ref="F106:F109" si="13">+C106*E106</f>
        <v>122001.2</v>
      </c>
      <c r="G106" s="17">
        <v>158</v>
      </c>
      <c r="H106" s="17">
        <f t="shared" ref="H106:H110" si="14">+C106*G106</f>
        <v>54146.6</v>
      </c>
      <c r="I106" s="17">
        <f t="shared" ref="I106:I110" si="15">+F106+H106</f>
        <v>176147.8</v>
      </c>
      <c r="J106" s="159"/>
    </row>
    <row r="107" spans="1:12" ht="16.149999999999999" customHeight="1" x14ac:dyDescent="0.2">
      <c r="A107" s="12">
        <v>5.4</v>
      </c>
      <c r="B107" s="154" t="s">
        <v>217</v>
      </c>
      <c r="C107" s="17">
        <v>12.8</v>
      </c>
      <c r="D107" s="24" t="s">
        <v>42</v>
      </c>
      <c r="E107" s="17">
        <v>172</v>
      </c>
      <c r="F107" s="17">
        <f t="shared" si="13"/>
        <v>2201.6</v>
      </c>
      <c r="G107" s="17">
        <v>82</v>
      </c>
      <c r="H107" s="17">
        <f t="shared" si="14"/>
        <v>1049.6000000000001</v>
      </c>
      <c r="I107" s="17">
        <f t="shared" si="15"/>
        <v>3251.2</v>
      </c>
      <c r="J107" s="159"/>
    </row>
    <row r="108" spans="1:12" ht="15" customHeight="1" x14ac:dyDescent="0.2">
      <c r="A108" s="12">
        <v>5.5</v>
      </c>
      <c r="B108" s="16" t="s">
        <v>291</v>
      </c>
      <c r="C108" s="17">
        <v>12.8</v>
      </c>
      <c r="D108" s="24" t="s">
        <v>42</v>
      </c>
      <c r="E108" s="17">
        <v>380</v>
      </c>
      <c r="F108" s="17">
        <f t="shared" si="13"/>
        <v>4864</v>
      </c>
      <c r="G108" s="17">
        <v>70</v>
      </c>
      <c r="H108" s="17">
        <f t="shared" si="14"/>
        <v>896</v>
      </c>
      <c r="I108" s="17">
        <f t="shared" si="15"/>
        <v>5760</v>
      </c>
      <c r="J108" s="159"/>
    </row>
    <row r="109" spans="1:12" ht="16.149999999999999" customHeight="1" x14ac:dyDescent="0.2">
      <c r="A109" s="12">
        <v>5.6</v>
      </c>
      <c r="B109" s="19" t="s">
        <v>100</v>
      </c>
      <c r="C109" s="17">
        <v>390</v>
      </c>
      <c r="D109" s="24" t="s">
        <v>26</v>
      </c>
      <c r="E109" s="17">
        <v>90</v>
      </c>
      <c r="F109" s="17">
        <f t="shared" si="13"/>
        <v>35100</v>
      </c>
      <c r="G109" s="17">
        <v>55</v>
      </c>
      <c r="H109" s="17">
        <f t="shared" si="14"/>
        <v>21450</v>
      </c>
      <c r="I109" s="17">
        <f t="shared" si="15"/>
        <v>56550</v>
      </c>
      <c r="J109" s="159"/>
    </row>
    <row r="110" spans="1:12" ht="16.149999999999999" customHeight="1" x14ac:dyDescent="0.2">
      <c r="A110" s="12">
        <v>5.7</v>
      </c>
      <c r="B110" s="91" t="s">
        <v>109</v>
      </c>
      <c r="C110" s="17">
        <f>342.7+390+12.8</f>
        <v>745.5</v>
      </c>
      <c r="D110" s="24" t="s">
        <v>42</v>
      </c>
      <c r="E110" s="17">
        <v>114</v>
      </c>
      <c r="F110" s="17">
        <f>+C110*E110</f>
        <v>84987</v>
      </c>
      <c r="G110" s="17">
        <v>64</v>
      </c>
      <c r="H110" s="17">
        <f t="shared" si="14"/>
        <v>47712</v>
      </c>
      <c r="I110" s="17">
        <f t="shared" si="15"/>
        <v>132699</v>
      </c>
      <c r="J110" s="179"/>
    </row>
    <row r="111" spans="1:12" ht="16.149999999999999" customHeight="1" x14ac:dyDescent="0.2">
      <c r="A111" s="12">
        <v>5.8</v>
      </c>
      <c r="B111" s="120" t="s">
        <v>290</v>
      </c>
      <c r="C111" s="17">
        <v>22.5</v>
      </c>
      <c r="D111" s="24" t="s">
        <v>42</v>
      </c>
      <c r="E111" s="17">
        <f>364.94+107.65</f>
        <v>472.59000000000003</v>
      </c>
      <c r="F111" s="17">
        <f>+C111*E111</f>
        <v>10633.275000000001</v>
      </c>
      <c r="G111" s="17">
        <f>104+61</f>
        <v>165</v>
      </c>
      <c r="H111" s="17">
        <f>+C111*G111</f>
        <v>3712.5</v>
      </c>
      <c r="I111" s="17">
        <f>+F111+H111</f>
        <v>14345.775000000001</v>
      </c>
      <c r="J111" s="179"/>
      <c r="K111" s="187">
        <f>SUM(I104:I111)</f>
        <v>774719.58030870126</v>
      </c>
    </row>
    <row r="112" spans="1:12" ht="16.149999999999999" customHeight="1" x14ac:dyDescent="0.2">
      <c r="A112" s="12"/>
      <c r="B112" s="120"/>
      <c r="C112" s="17"/>
      <c r="D112" s="24"/>
      <c r="E112" s="17"/>
      <c r="F112" s="17"/>
      <c r="G112" s="17"/>
      <c r="H112" s="17"/>
      <c r="I112" s="17"/>
      <c r="J112" s="179"/>
    </row>
    <row r="113" spans="1:11" ht="16.149999999999999" customHeight="1" x14ac:dyDescent="0.2">
      <c r="A113" s="80">
        <v>6</v>
      </c>
      <c r="B113" s="166" t="s">
        <v>61</v>
      </c>
      <c r="C113" s="88"/>
      <c r="D113" s="88"/>
      <c r="E113" s="89"/>
      <c r="F113" s="89"/>
      <c r="G113" s="89"/>
      <c r="H113" s="89"/>
      <c r="I113" s="89"/>
      <c r="J113" s="159"/>
    </row>
    <row r="114" spans="1:11" ht="16.149999999999999" customHeight="1" x14ac:dyDescent="0.2">
      <c r="A114" s="12">
        <v>6.1</v>
      </c>
      <c r="B114" s="19" t="s">
        <v>87</v>
      </c>
      <c r="C114" s="101">
        <v>1238.54</v>
      </c>
      <c r="D114" s="24" t="s">
        <v>42</v>
      </c>
      <c r="E114" s="17">
        <v>298</v>
      </c>
      <c r="F114" s="17">
        <f t="shared" ref="F114:F122" si="16">+C114*E114</f>
        <v>369084.92</v>
      </c>
      <c r="G114" s="17">
        <v>94</v>
      </c>
      <c r="H114" s="17">
        <f t="shared" ref="H114:H120" si="17">+C114*G114</f>
        <v>116422.76</v>
      </c>
      <c r="I114" s="17">
        <f t="shared" ref="I114:I120" si="18">+F114+H114</f>
        <v>485507.68</v>
      </c>
      <c r="J114" s="159"/>
    </row>
    <row r="115" spans="1:11" ht="16.149999999999999" customHeight="1" x14ac:dyDescent="0.2">
      <c r="A115" s="12">
        <v>6.2</v>
      </c>
      <c r="B115" s="19" t="s">
        <v>374</v>
      </c>
      <c r="C115" s="101">
        <v>278.89999999999998</v>
      </c>
      <c r="D115" s="24" t="s">
        <v>42</v>
      </c>
      <c r="E115" s="17">
        <v>489</v>
      </c>
      <c r="F115" s="17">
        <f>+C115*E115</f>
        <v>136382.09999999998</v>
      </c>
      <c r="G115" s="17">
        <v>181</v>
      </c>
      <c r="H115" s="17">
        <f>+C115*G115</f>
        <v>50480.899999999994</v>
      </c>
      <c r="I115" s="17">
        <f>+F115+H115</f>
        <v>186862.99999999997</v>
      </c>
      <c r="J115" s="159" t="s">
        <v>359</v>
      </c>
    </row>
    <row r="116" spans="1:11" ht="16.149999999999999" customHeight="1" x14ac:dyDescent="0.2">
      <c r="A116" s="12">
        <v>6.4</v>
      </c>
      <c r="B116" s="19" t="s">
        <v>218</v>
      </c>
      <c r="C116" s="101">
        <v>21.86</v>
      </c>
      <c r="D116" s="24" t="s">
        <v>42</v>
      </c>
      <c r="E116" s="17">
        <v>556.89</v>
      </c>
      <c r="F116" s="17">
        <f>+C116*E116</f>
        <v>12173.615399999999</v>
      </c>
      <c r="G116" s="17">
        <v>106</v>
      </c>
      <c r="H116" s="17">
        <f>+C116*G116</f>
        <v>2317.16</v>
      </c>
      <c r="I116" s="17">
        <f>+F116+H116</f>
        <v>14490.775399999999</v>
      </c>
      <c r="J116" s="159"/>
    </row>
    <row r="117" spans="1:11" ht="16.149999999999999" customHeight="1" x14ac:dyDescent="0.2">
      <c r="A117" s="12">
        <v>6.5</v>
      </c>
      <c r="B117" s="19" t="s">
        <v>113</v>
      </c>
      <c r="C117" s="101">
        <v>1507.98</v>
      </c>
      <c r="D117" s="24" t="s">
        <v>42</v>
      </c>
      <c r="E117" s="17">
        <v>84</v>
      </c>
      <c r="F117" s="17">
        <f t="shared" si="16"/>
        <v>126670.32</v>
      </c>
      <c r="G117" s="17">
        <v>87</v>
      </c>
      <c r="H117" s="17">
        <f t="shared" si="17"/>
        <v>131194.26</v>
      </c>
      <c r="I117" s="17">
        <f t="shared" si="18"/>
        <v>257864.58000000002</v>
      </c>
      <c r="J117" s="159"/>
    </row>
    <row r="118" spans="1:11" ht="16.149999999999999" customHeight="1" x14ac:dyDescent="0.2">
      <c r="A118" s="12">
        <v>6.6</v>
      </c>
      <c r="B118" s="19" t="s">
        <v>114</v>
      </c>
      <c r="C118" s="101">
        <v>641.16999999999996</v>
      </c>
      <c r="D118" s="24" t="s">
        <v>42</v>
      </c>
      <c r="E118" s="17">
        <v>84</v>
      </c>
      <c r="F118" s="17">
        <f>+C118*E118</f>
        <v>53858.28</v>
      </c>
      <c r="G118" s="17">
        <v>95</v>
      </c>
      <c r="H118" s="17">
        <f>+C118*G118</f>
        <v>60911.149999999994</v>
      </c>
      <c r="I118" s="17">
        <f>+F118+H118</f>
        <v>114769.43</v>
      </c>
      <c r="J118" s="159"/>
    </row>
    <row r="119" spans="1:11" ht="15" customHeight="1" x14ac:dyDescent="0.2">
      <c r="A119" s="12">
        <v>6.7</v>
      </c>
      <c r="B119" s="19" t="s">
        <v>116</v>
      </c>
      <c r="C119" s="102">
        <v>333.17</v>
      </c>
      <c r="D119" s="88" t="s">
        <v>42</v>
      </c>
      <c r="E119" s="89">
        <v>80</v>
      </c>
      <c r="F119" s="89">
        <f t="shared" si="16"/>
        <v>26653.600000000002</v>
      </c>
      <c r="G119" s="89">
        <v>105</v>
      </c>
      <c r="H119" s="89">
        <f t="shared" si="17"/>
        <v>34982.85</v>
      </c>
      <c r="I119" s="89">
        <f t="shared" si="18"/>
        <v>61636.45</v>
      </c>
      <c r="J119" s="179"/>
    </row>
    <row r="120" spans="1:11" ht="15" customHeight="1" x14ac:dyDescent="0.2">
      <c r="A120" s="12">
        <v>6.8</v>
      </c>
      <c r="B120" s="19" t="s">
        <v>117</v>
      </c>
      <c r="C120" s="102">
        <v>624.94000000000005</v>
      </c>
      <c r="D120" s="88" t="s">
        <v>42</v>
      </c>
      <c r="E120" s="89">
        <v>80</v>
      </c>
      <c r="F120" s="89">
        <f t="shared" si="16"/>
        <v>49995.200000000004</v>
      </c>
      <c r="G120" s="89">
        <v>115</v>
      </c>
      <c r="H120" s="89">
        <f t="shared" si="17"/>
        <v>71868.100000000006</v>
      </c>
      <c r="I120" s="89">
        <f t="shared" si="18"/>
        <v>121863.30000000002</v>
      </c>
      <c r="J120" s="179"/>
    </row>
    <row r="121" spans="1:11" ht="16.149999999999999" customHeight="1" x14ac:dyDescent="0.2">
      <c r="A121" s="12">
        <v>6.9</v>
      </c>
      <c r="B121" s="16" t="s">
        <v>88</v>
      </c>
      <c r="C121" s="101">
        <v>1272</v>
      </c>
      <c r="D121" s="24" t="s">
        <v>47</v>
      </c>
      <c r="E121" s="17">
        <v>100</v>
      </c>
      <c r="F121" s="17">
        <f>+C121*E121</f>
        <v>127200</v>
      </c>
      <c r="G121" s="17">
        <v>44</v>
      </c>
      <c r="H121" s="17">
        <f>+C121*G121</f>
        <v>55968</v>
      </c>
      <c r="I121" s="17">
        <f>+F121+H121</f>
        <v>183168</v>
      </c>
      <c r="J121" s="179" t="s">
        <v>0</v>
      </c>
    </row>
    <row r="122" spans="1:11" ht="16.149999999999999" customHeight="1" x14ac:dyDescent="0.2">
      <c r="A122" s="15">
        <v>6.1</v>
      </c>
      <c r="B122" s="18" t="s">
        <v>108</v>
      </c>
      <c r="C122" s="101">
        <v>278.89999999999998</v>
      </c>
      <c r="D122" s="24" t="s">
        <v>42</v>
      </c>
      <c r="E122" s="17">
        <v>114</v>
      </c>
      <c r="F122" s="17">
        <f t="shared" si="16"/>
        <v>31794.6</v>
      </c>
      <c r="G122" s="17">
        <v>70</v>
      </c>
      <c r="H122" s="17">
        <f>+C122*G122</f>
        <v>19523</v>
      </c>
      <c r="I122" s="17">
        <f>+F122+H122</f>
        <v>51317.599999999999</v>
      </c>
      <c r="J122" s="179"/>
      <c r="K122" s="187">
        <f>SUM(I114:I122)</f>
        <v>1477480.8154</v>
      </c>
    </row>
    <row r="123" spans="1:11" ht="16.149999999999999" customHeight="1" x14ac:dyDescent="0.2">
      <c r="A123" s="43"/>
      <c r="B123" s="32" t="s">
        <v>22</v>
      </c>
      <c r="C123" s="55"/>
      <c r="D123" s="55"/>
      <c r="E123" s="56"/>
      <c r="F123" s="56"/>
      <c r="G123" s="56"/>
      <c r="H123" s="56"/>
      <c r="I123" s="56">
        <f>SUM(I94:I122)</f>
        <v>6398367.4737103581</v>
      </c>
      <c r="J123" s="180"/>
    </row>
    <row r="124" spans="1:11" ht="16.149999999999999" customHeight="1" x14ac:dyDescent="0.2">
      <c r="A124" s="57"/>
      <c r="B124" s="33" t="s">
        <v>23</v>
      </c>
      <c r="C124" s="58"/>
      <c r="D124" s="58"/>
      <c r="E124" s="59"/>
      <c r="F124" s="59"/>
      <c r="G124" s="59"/>
      <c r="H124" s="59"/>
      <c r="I124" s="59">
        <f>I123</f>
        <v>6398367.4737103581</v>
      </c>
      <c r="J124" s="33"/>
    </row>
    <row r="125" spans="1:11" ht="16.149999999999999" customHeight="1" x14ac:dyDescent="0.2">
      <c r="A125" s="80">
        <v>7</v>
      </c>
      <c r="B125" s="165" t="s">
        <v>145</v>
      </c>
      <c r="C125" s="88"/>
      <c r="D125" s="88"/>
      <c r="E125" s="89"/>
      <c r="F125" s="89"/>
      <c r="G125" s="89"/>
      <c r="H125" s="89"/>
      <c r="I125" s="89"/>
      <c r="J125" s="159"/>
    </row>
    <row r="126" spans="1:11" ht="16.149999999999999" customHeight="1" x14ac:dyDescent="0.2">
      <c r="A126" s="12">
        <v>7.1</v>
      </c>
      <c r="B126" s="121" t="s">
        <v>219</v>
      </c>
      <c r="C126" s="60">
        <v>14</v>
      </c>
      <c r="D126" s="24" t="s">
        <v>27</v>
      </c>
      <c r="E126" s="86">
        <v>17068</v>
      </c>
      <c r="F126" s="17">
        <f>+C126*E126</f>
        <v>238952</v>
      </c>
      <c r="G126" s="17">
        <v>1551</v>
      </c>
      <c r="H126" s="17">
        <f>+C126*G126</f>
        <v>21714</v>
      </c>
      <c r="I126" s="17">
        <f>+F126+H126</f>
        <v>260666</v>
      </c>
      <c r="J126" s="159"/>
    </row>
    <row r="127" spans="1:11" ht="16.149999999999999" customHeight="1" x14ac:dyDescent="0.2">
      <c r="A127" s="12">
        <v>7.2</v>
      </c>
      <c r="B127" s="121" t="s">
        <v>220</v>
      </c>
      <c r="C127" s="60">
        <v>14</v>
      </c>
      <c r="D127" s="24" t="s">
        <v>27</v>
      </c>
      <c r="E127" s="17">
        <v>13118</v>
      </c>
      <c r="F127" s="17">
        <f>+C127*E127</f>
        <v>183652</v>
      </c>
      <c r="G127" s="17">
        <v>990</v>
      </c>
      <c r="H127" s="17">
        <f>+C127*G127</f>
        <v>13860</v>
      </c>
      <c r="I127" s="17">
        <f>+F127+H127</f>
        <v>197512</v>
      </c>
      <c r="J127" s="159"/>
    </row>
    <row r="128" spans="1:11" ht="16.149999999999999" customHeight="1" x14ac:dyDescent="0.2">
      <c r="A128" s="12">
        <v>7.3</v>
      </c>
      <c r="B128" s="121" t="s">
        <v>221</v>
      </c>
      <c r="C128" s="60">
        <v>14</v>
      </c>
      <c r="D128" s="24" t="s">
        <v>27</v>
      </c>
      <c r="E128" s="17">
        <f>[1]ราคา!F282</f>
        <v>21530</v>
      </c>
      <c r="F128" s="17">
        <f t="shared" ref="F128:F129" si="19">+C128*E128</f>
        <v>301420</v>
      </c>
      <c r="G128" s="17">
        <f>[1]ราคา!H282</f>
        <v>2093.3000000000002</v>
      </c>
      <c r="H128" s="17">
        <f>+C128*G128</f>
        <v>29306.200000000004</v>
      </c>
      <c r="I128" s="17">
        <f>+F128+H128</f>
        <v>330726.2</v>
      </c>
      <c r="J128" s="159"/>
    </row>
    <row r="129" spans="1:15" ht="16.149999999999999" customHeight="1" x14ac:dyDescent="0.2">
      <c r="A129" s="12">
        <v>7.4</v>
      </c>
      <c r="B129" s="121" t="s">
        <v>222</v>
      </c>
      <c r="C129" s="60">
        <v>14</v>
      </c>
      <c r="D129" s="24" t="s">
        <v>27</v>
      </c>
      <c r="E129" s="17">
        <f>[1]ราคา!F287</f>
        <v>14576</v>
      </c>
      <c r="F129" s="17">
        <f t="shared" si="19"/>
        <v>204064</v>
      </c>
      <c r="G129" s="17">
        <f>[1]ราคา!H287</f>
        <v>922</v>
      </c>
      <c r="H129" s="17">
        <f t="shared" ref="H129" si="20">+C129*G129</f>
        <v>12908</v>
      </c>
      <c r="I129" s="17">
        <f t="shared" ref="I129" si="21">+F129+H129</f>
        <v>216972</v>
      </c>
      <c r="J129" s="159"/>
    </row>
    <row r="130" spans="1:15" ht="16.149999999999999" customHeight="1" x14ac:dyDescent="0.2">
      <c r="A130" s="12">
        <v>7.5</v>
      </c>
      <c r="B130" s="121" t="s">
        <v>223</v>
      </c>
      <c r="C130" s="60">
        <v>8</v>
      </c>
      <c r="D130" s="24" t="s">
        <v>27</v>
      </c>
      <c r="E130" s="17">
        <f>[1]ราคา!F292</f>
        <v>7176</v>
      </c>
      <c r="F130" s="17">
        <f>+C130*E130</f>
        <v>57408</v>
      </c>
      <c r="G130" s="17">
        <f>[1]ราคา!H292</f>
        <v>490.6</v>
      </c>
      <c r="H130" s="17">
        <f>+C130*G130</f>
        <v>3924.8</v>
      </c>
      <c r="I130" s="17">
        <f>+F130+H130</f>
        <v>61332.800000000003</v>
      </c>
      <c r="J130" s="159"/>
    </row>
    <row r="131" spans="1:15" ht="16.149999999999999" customHeight="1" x14ac:dyDescent="0.2">
      <c r="A131" s="12">
        <v>7.6</v>
      </c>
      <c r="B131" s="121" t="s">
        <v>224</v>
      </c>
      <c r="C131" s="60">
        <v>3</v>
      </c>
      <c r="D131" s="24" t="s">
        <v>27</v>
      </c>
      <c r="E131" s="17">
        <f>[1]ราคา!F297</f>
        <v>12000</v>
      </c>
      <c r="F131" s="17">
        <f>+C131*E131</f>
        <v>36000</v>
      </c>
      <c r="G131" s="17">
        <f>[1]ราคา!H297</f>
        <v>910</v>
      </c>
      <c r="H131" s="17">
        <f>+C131*G131</f>
        <v>2730</v>
      </c>
      <c r="I131" s="17">
        <f>+F131+H131</f>
        <v>38730</v>
      </c>
      <c r="J131" s="159"/>
    </row>
    <row r="132" spans="1:15" ht="16.149999999999999" customHeight="1" x14ac:dyDescent="0.2">
      <c r="A132" s="12">
        <v>7.7</v>
      </c>
      <c r="B132" s="122" t="s">
        <v>225</v>
      </c>
      <c r="C132" s="60">
        <v>20</v>
      </c>
      <c r="D132" s="24" t="s">
        <v>27</v>
      </c>
      <c r="E132" s="17">
        <f>[1]ราคา!F301</f>
        <v>2700</v>
      </c>
      <c r="F132" s="17">
        <f>+C132*E132</f>
        <v>54000</v>
      </c>
      <c r="G132" s="17">
        <f>[1]ราคา!H301</f>
        <v>405</v>
      </c>
      <c r="H132" s="17">
        <f>+C132*G132</f>
        <v>8100</v>
      </c>
      <c r="I132" s="17">
        <f>+F132+H132</f>
        <v>62100</v>
      </c>
      <c r="J132" s="159"/>
    </row>
    <row r="133" spans="1:15" ht="16.149999999999999" customHeight="1" x14ac:dyDescent="0.2">
      <c r="A133" s="12">
        <v>7.8</v>
      </c>
      <c r="B133" s="31" t="s">
        <v>226</v>
      </c>
      <c r="C133" s="60">
        <v>3</v>
      </c>
      <c r="D133" s="24" t="s">
        <v>27</v>
      </c>
      <c r="E133" s="17">
        <f>[1]ราคา!F304</f>
        <v>7300</v>
      </c>
      <c r="F133" s="17">
        <f>+C133*E133</f>
        <v>21900</v>
      </c>
      <c r="G133" s="17">
        <f>[1]ราคา!H304</f>
        <v>1095</v>
      </c>
      <c r="H133" s="17">
        <f>+C133*G133</f>
        <v>3285</v>
      </c>
      <c r="I133" s="17">
        <f>+F133+H133</f>
        <v>25185</v>
      </c>
      <c r="J133" s="159"/>
    </row>
    <row r="134" spans="1:15" ht="16.149999999999999" customHeight="1" x14ac:dyDescent="0.2">
      <c r="A134" s="12">
        <v>7.9</v>
      </c>
      <c r="B134" s="31" t="s">
        <v>89</v>
      </c>
      <c r="C134" s="24">
        <v>1204</v>
      </c>
      <c r="D134" s="24" t="s">
        <v>28</v>
      </c>
      <c r="E134" s="17">
        <v>16</v>
      </c>
      <c r="F134" s="17">
        <f>+C134*E134</f>
        <v>19264</v>
      </c>
      <c r="G134" s="17">
        <v>10</v>
      </c>
      <c r="H134" s="17">
        <f>+C134*G134</f>
        <v>12040</v>
      </c>
      <c r="I134" s="17">
        <f>+F134+H134</f>
        <v>31304</v>
      </c>
      <c r="J134" s="159"/>
    </row>
    <row r="135" spans="1:15" ht="16.149999999999999" customHeight="1" x14ac:dyDescent="0.2">
      <c r="A135" s="15">
        <v>7.1</v>
      </c>
      <c r="B135" s="31" t="s">
        <v>90</v>
      </c>
      <c r="C135" s="24">
        <v>90</v>
      </c>
      <c r="D135" s="24" t="s">
        <v>28</v>
      </c>
      <c r="E135" s="17">
        <v>31</v>
      </c>
      <c r="F135" s="17">
        <f t="shared" ref="F135:F136" si="22">+C135*E135</f>
        <v>2790</v>
      </c>
      <c r="G135" s="17">
        <v>10</v>
      </c>
      <c r="H135" s="17">
        <f t="shared" ref="H135:H139" si="23">+C135*G135</f>
        <v>900</v>
      </c>
      <c r="I135" s="17">
        <f t="shared" ref="I135:I136" si="24">+F135+H135</f>
        <v>3690</v>
      </c>
      <c r="J135" s="179"/>
      <c r="L135" s="84"/>
    </row>
    <row r="136" spans="1:15" ht="16.149999999999999" customHeight="1" x14ac:dyDescent="0.2">
      <c r="A136" s="12">
        <v>7.11</v>
      </c>
      <c r="B136" s="90" t="s">
        <v>193</v>
      </c>
      <c r="C136" s="24">
        <v>14</v>
      </c>
      <c r="D136" s="24" t="s">
        <v>27</v>
      </c>
      <c r="E136" s="17">
        <v>2300</v>
      </c>
      <c r="F136" s="17">
        <f t="shared" si="22"/>
        <v>32200</v>
      </c>
      <c r="G136" s="17">
        <v>100</v>
      </c>
      <c r="H136" s="17">
        <f t="shared" si="23"/>
        <v>1400</v>
      </c>
      <c r="I136" s="17">
        <f t="shared" si="24"/>
        <v>33600</v>
      </c>
      <c r="J136" s="179"/>
    </row>
    <row r="137" spans="1:15" ht="16.149999999999999" customHeight="1" x14ac:dyDescent="0.2">
      <c r="A137" s="12">
        <v>7.12</v>
      </c>
      <c r="B137" s="90" t="s">
        <v>227</v>
      </c>
      <c r="C137" s="24">
        <v>14</v>
      </c>
      <c r="D137" s="24" t="s">
        <v>27</v>
      </c>
      <c r="E137" s="17">
        <v>250</v>
      </c>
      <c r="F137" s="17">
        <f>+C137*E137</f>
        <v>3500</v>
      </c>
      <c r="G137" s="17">
        <v>100</v>
      </c>
      <c r="H137" s="17">
        <f t="shared" si="23"/>
        <v>1400</v>
      </c>
      <c r="I137" s="17">
        <f>+F137+H137</f>
        <v>4900</v>
      </c>
      <c r="J137" s="179"/>
    </row>
    <row r="138" spans="1:15" ht="16.149999999999999" customHeight="1" x14ac:dyDescent="0.2">
      <c r="A138" s="12">
        <v>7.13</v>
      </c>
      <c r="B138" s="90" t="s">
        <v>228</v>
      </c>
      <c r="C138" s="24">
        <v>14</v>
      </c>
      <c r="D138" s="24" t="s">
        <v>27</v>
      </c>
      <c r="E138" s="17">
        <v>2200</v>
      </c>
      <c r="F138" s="17">
        <f>+C138*E138</f>
        <v>30800</v>
      </c>
      <c r="G138" s="17">
        <v>100</v>
      </c>
      <c r="H138" s="17">
        <f t="shared" si="23"/>
        <v>1400</v>
      </c>
      <c r="I138" s="17">
        <f>+F138+H138</f>
        <v>32200</v>
      </c>
      <c r="J138" s="179"/>
    </row>
    <row r="139" spans="1:15" ht="16.149999999999999" customHeight="1" x14ac:dyDescent="0.2">
      <c r="A139" s="12">
        <v>7.14</v>
      </c>
      <c r="B139" s="90" t="s">
        <v>229</v>
      </c>
      <c r="C139" s="24">
        <f>3*14</f>
        <v>42</v>
      </c>
      <c r="D139" s="24" t="s">
        <v>27</v>
      </c>
      <c r="E139" s="17">
        <v>300</v>
      </c>
      <c r="F139" s="17">
        <f>+C139*E139</f>
        <v>12600</v>
      </c>
      <c r="G139" s="17">
        <v>100</v>
      </c>
      <c r="H139" s="17">
        <f t="shared" si="23"/>
        <v>4200</v>
      </c>
      <c r="I139" s="17">
        <f>+F139+H139</f>
        <v>16800</v>
      </c>
      <c r="J139" s="179"/>
      <c r="K139" s="187">
        <f>SUM(I126:I139)</f>
        <v>1315718</v>
      </c>
    </row>
    <row r="140" spans="1:15" ht="16.149999999999999" customHeight="1" x14ac:dyDescent="0.2">
      <c r="A140" s="12"/>
      <c r="B140" s="90"/>
      <c r="C140" s="24"/>
      <c r="D140" s="24"/>
      <c r="E140" s="17"/>
      <c r="F140" s="17"/>
      <c r="G140" s="17"/>
      <c r="H140" s="17"/>
      <c r="I140" s="17"/>
      <c r="J140" s="179"/>
    </row>
    <row r="141" spans="1:15" ht="16.149999999999999" customHeight="1" x14ac:dyDescent="0.2">
      <c r="A141" s="80">
        <v>8</v>
      </c>
      <c r="B141" s="165" t="s">
        <v>63</v>
      </c>
      <c r="C141" s="88"/>
      <c r="D141" s="88"/>
      <c r="E141" s="89"/>
      <c r="F141" s="89"/>
      <c r="G141" s="89"/>
      <c r="H141" s="89"/>
      <c r="I141" s="89"/>
      <c r="J141" s="159"/>
    </row>
    <row r="142" spans="1:15" ht="15" customHeight="1" x14ac:dyDescent="0.2">
      <c r="A142" s="12">
        <v>8.1</v>
      </c>
      <c r="B142" s="16" t="s">
        <v>389</v>
      </c>
      <c r="C142" s="89">
        <v>2028.51</v>
      </c>
      <c r="D142" s="88" t="s">
        <v>42</v>
      </c>
      <c r="E142" s="96">
        <v>43</v>
      </c>
      <c r="F142" s="89">
        <f>+C142*E142</f>
        <v>87225.93</v>
      </c>
      <c r="G142" s="89">
        <v>30</v>
      </c>
      <c r="H142" s="89">
        <f>+C142*G142</f>
        <v>60855.3</v>
      </c>
      <c r="I142" s="89">
        <f>+F142+H142</f>
        <v>148081.22999999998</v>
      </c>
      <c r="J142" s="159"/>
      <c r="L142" s="85"/>
      <c r="M142" s="117"/>
    </row>
    <row r="143" spans="1:15" ht="15" customHeight="1" x14ac:dyDescent="0.2">
      <c r="A143" s="12">
        <v>8.1999999999999993</v>
      </c>
      <c r="B143" s="16" t="s">
        <v>285</v>
      </c>
      <c r="C143" s="89">
        <v>594</v>
      </c>
      <c r="D143" s="88" t="s">
        <v>42</v>
      </c>
      <c r="E143" s="96">
        <v>43</v>
      </c>
      <c r="F143" s="89">
        <f>+C143*E143</f>
        <v>25542</v>
      </c>
      <c r="G143" s="89">
        <v>34</v>
      </c>
      <c r="H143" s="89">
        <f>+C143*G143</f>
        <v>20196</v>
      </c>
      <c r="I143" s="89">
        <f>+F143+H143</f>
        <v>45738</v>
      </c>
      <c r="J143" s="159"/>
      <c r="L143" s="85"/>
      <c r="M143" s="117"/>
    </row>
    <row r="144" spans="1:15" ht="15" customHeight="1" x14ac:dyDescent="0.2">
      <c r="A144" s="12">
        <v>8.3000000000000007</v>
      </c>
      <c r="B144" s="16" t="s">
        <v>186</v>
      </c>
      <c r="C144" s="89">
        <v>1309.83</v>
      </c>
      <c r="D144" s="88" t="s">
        <v>42</v>
      </c>
      <c r="E144" s="96">
        <v>61.88</v>
      </c>
      <c r="F144" s="89">
        <f>+C144*E144</f>
        <v>81052.280400000003</v>
      </c>
      <c r="G144" s="89">
        <v>34</v>
      </c>
      <c r="H144" s="89">
        <f>+C144*G144</f>
        <v>44534.22</v>
      </c>
      <c r="I144" s="89">
        <f>+F144+H144</f>
        <v>125586.5004</v>
      </c>
      <c r="J144" s="159"/>
      <c r="L144" s="85"/>
      <c r="M144" s="117"/>
      <c r="O144" s="83"/>
    </row>
    <row r="145" spans="1:13" ht="15" customHeight="1" x14ac:dyDescent="0.2">
      <c r="A145" s="12">
        <v>8.4</v>
      </c>
      <c r="B145" s="19" t="s">
        <v>388</v>
      </c>
      <c r="C145" s="89">
        <v>394.96</v>
      </c>
      <c r="D145" s="88" t="s">
        <v>42</v>
      </c>
      <c r="E145" s="96">
        <v>62</v>
      </c>
      <c r="F145" s="89">
        <f>+C145*E145</f>
        <v>24487.52</v>
      </c>
      <c r="G145" s="89">
        <v>35</v>
      </c>
      <c r="H145" s="89">
        <f>+C145*G145</f>
        <v>13823.599999999999</v>
      </c>
      <c r="I145" s="89">
        <f>+F145+H145</f>
        <v>38311.119999999995</v>
      </c>
      <c r="J145" s="179"/>
      <c r="K145" s="187">
        <f>SUM(I142:I145)</f>
        <v>357716.8504</v>
      </c>
      <c r="L145" s="85"/>
      <c r="M145" s="117"/>
    </row>
    <row r="146" spans="1:13" ht="15" customHeight="1" x14ac:dyDescent="0.2">
      <c r="A146" s="12"/>
      <c r="B146" s="19"/>
      <c r="C146" s="89"/>
      <c r="D146" s="88"/>
      <c r="E146" s="96"/>
      <c r="F146" s="89"/>
      <c r="G146" s="89"/>
      <c r="H146" s="89"/>
      <c r="I146" s="89"/>
      <c r="J146" s="179"/>
      <c r="L146" s="85"/>
      <c r="M146" s="117"/>
    </row>
    <row r="147" spans="1:13" ht="16.149999999999999" customHeight="1" x14ac:dyDescent="0.2">
      <c r="A147" s="80">
        <v>9</v>
      </c>
      <c r="B147" s="165" t="s">
        <v>64</v>
      </c>
      <c r="C147" s="88"/>
      <c r="D147" s="88"/>
      <c r="E147" s="89"/>
      <c r="F147" s="89"/>
      <c r="G147" s="89"/>
      <c r="H147" s="89"/>
      <c r="I147" s="89"/>
      <c r="J147" s="179"/>
      <c r="L147" s="117"/>
    </row>
    <row r="148" spans="1:13" ht="16.149999999999999" customHeight="1" x14ac:dyDescent="0.2">
      <c r="A148" s="12">
        <v>9.1</v>
      </c>
      <c r="B148" s="16" t="s">
        <v>178</v>
      </c>
      <c r="C148" s="60">
        <v>14</v>
      </c>
      <c r="D148" s="24" t="s">
        <v>27</v>
      </c>
      <c r="E148" s="17">
        <v>17900</v>
      </c>
      <c r="F148" s="17">
        <f>+C148*E148</f>
        <v>250600</v>
      </c>
      <c r="G148" s="17">
        <v>450</v>
      </c>
      <c r="H148" s="17">
        <f>+C148*G148</f>
        <v>6300</v>
      </c>
      <c r="I148" s="17">
        <f>+F148+H148</f>
        <v>256900</v>
      </c>
      <c r="J148" s="159"/>
      <c r="L148" s="85"/>
      <c r="M148" s="167"/>
    </row>
    <row r="149" spans="1:13" ht="16.149999999999999" customHeight="1" x14ac:dyDescent="0.2">
      <c r="A149" s="12">
        <v>9.1999999999999993</v>
      </c>
      <c r="B149" s="16" t="s">
        <v>179</v>
      </c>
      <c r="C149" s="60">
        <v>14</v>
      </c>
      <c r="D149" s="24" t="s">
        <v>27</v>
      </c>
      <c r="E149" s="17">
        <v>4200</v>
      </c>
      <c r="F149" s="17">
        <f>+C149*E149</f>
        <v>58800</v>
      </c>
      <c r="G149" s="17">
        <v>450</v>
      </c>
      <c r="H149" s="17">
        <f>+C149*G149</f>
        <v>6300</v>
      </c>
      <c r="I149" s="17">
        <f>+F149+H149</f>
        <v>65100</v>
      </c>
      <c r="J149" s="159"/>
    </row>
    <row r="150" spans="1:13" ht="16.149999999999999" customHeight="1" x14ac:dyDescent="0.2">
      <c r="A150" s="12"/>
      <c r="B150" s="16" t="s">
        <v>180</v>
      </c>
      <c r="C150" s="60"/>
      <c r="D150" s="24"/>
      <c r="E150" s="17"/>
      <c r="F150" s="17"/>
      <c r="G150" s="17"/>
      <c r="H150" s="17"/>
      <c r="I150" s="17"/>
      <c r="J150" s="159"/>
    </row>
    <row r="151" spans="1:13" ht="16.149999999999999" customHeight="1" x14ac:dyDescent="0.2">
      <c r="A151" s="12">
        <v>9.3000000000000007</v>
      </c>
      <c r="B151" s="16" t="s">
        <v>233</v>
      </c>
      <c r="C151" s="60">
        <v>14</v>
      </c>
      <c r="D151" s="24" t="s">
        <v>27</v>
      </c>
      <c r="E151" s="17">
        <v>16390</v>
      </c>
      <c r="F151" s="17">
        <f t="shared" ref="F151:F162" si="25">+C151*E151</f>
        <v>229460</v>
      </c>
      <c r="G151" s="17">
        <v>170</v>
      </c>
      <c r="H151" s="17">
        <f t="shared" ref="H151:H162" si="26">+C151*G151</f>
        <v>2380</v>
      </c>
      <c r="I151" s="17">
        <f t="shared" ref="I151:I162" si="27">+F151+H151</f>
        <v>231840</v>
      </c>
      <c r="J151" s="159"/>
    </row>
    <row r="152" spans="1:13" ht="16.149999999999999" customHeight="1" x14ac:dyDescent="0.2">
      <c r="A152" s="12">
        <v>9.4</v>
      </c>
      <c r="B152" s="16" t="s">
        <v>181</v>
      </c>
      <c r="C152" s="60">
        <v>14</v>
      </c>
      <c r="D152" s="24" t="s">
        <v>27</v>
      </c>
      <c r="E152" s="17">
        <v>660</v>
      </c>
      <c r="F152" s="17">
        <f t="shared" si="25"/>
        <v>9240</v>
      </c>
      <c r="G152" s="17">
        <v>120</v>
      </c>
      <c r="H152" s="17">
        <f t="shared" si="26"/>
        <v>1680</v>
      </c>
      <c r="I152" s="17">
        <f t="shared" si="27"/>
        <v>10920</v>
      </c>
      <c r="J152" s="159"/>
      <c r="K152" s="84">
        <f>SUM(I148:I152)</f>
        <v>564760</v>
      </c>
    </row>
    <row r="153" spans="1:13" ht="16.149999999999999" customHeight="1" x14ac:dyDescent="0.2">
      <c r="A153" s="50"/>
      <c r="B153" s="34" t="s">
        <v>22</v>
      </c>
      <c r="C153" s="51"/>
      <c r="D153" s="51"/>
      <c r="E153" s="52"/>
      <c r="F153" s="52"/>
      <c r="G153" s="52"/>
      <c r="H153" s="52"/>
      <c r="I153" s="52">
        <f>SUM(I124:I152)</f>
        <v>8636562.324110359</v>
      </c>
      <c r="J153" s="34"/>
    </row>
    <row r="154" spans="1:13" ht="16.149999999999999" customHeight="1" x14ac:dyDescent="0.2">
      <c r="A154" s="148"/>
      <c r="B154" s="30" t="s">
        <v>23</v>
      </c>
      <c r="C154" s="53"/>
      <c r="D154" s="53"/>
      <c r="E154" s="54"/>
      <c r="F154" s="54"/>
      <c r="G154" s="54"/>
      <c r="H154" s="54"/>
      <c r="I154" s="54">
        <f>I153</f>
        <v>8636562.324110359</v>
      </c>
      <c r="J154" s="30"/>
    </row>
    <row r="155" spans="1:13" ht="16.149999999999999" customHeight="1" x14ac:dyDescent="0.2">
      <c r="A155" s="12">
        <v>9.5</v>
      </c>
      <c r="B155" s="16" t="s">
        <v>182</v>
      </c>
      <c r="C155" s="60">
        <v>14</v>
      </c>
      <c r="D155" s="24" t="s">
        <v>27</v>
      </c>
      <c r="E155" s="17">
        <v>450</v>
      </c>
      <c r="F155" s="17">
        <f t="shared" si="25"/>
        <v>6300</v>
      </c>
      <c r="G155" s="17">
        <v>120</v>
      </c>
      <c r="H155" s="17">
        <f t="shared" si="26"/>
        <v>1680</v>
      </c>
      <c r="I155" s="17">
        <f t="shared" si="27"/>
        <v>7980</v>
      </c>
      <c r="J155" s="159"/>
    </row>
    <row r="156" spans="1:13" ht="16.149999999999999" customHeight="1" x14ac:dyDescent="0.2">
      <c r="A156" s="12">
        <v>9.6</v>
      </c>
      <c r="B156" s="16" t="s">
        <v>183</v>
      </c>
      <c r="C156" s="60">
        <v>14</v>
      </c>
      <c r="D156" s="24" t="s">
        <v>27</v>
      </c>
      <c r="E156" s="17">
        <v>1010</v>
      </c>
      <c r="F156" s="17">
        <f>+C156*E156</f>
        <v>14140</v>
      </c>
      <c r="G156" s="17">
        <v>70</v>
      </c>
      <c r="H156" s="17">
        <f>+C156*G156</f>
        <v>980</v>
      </c>
      <c r="I156" s="17">
        <f>+F156+H156</f>
        <v>15120</v>
      </c>
      <c r="J156" s="159"/>
    </row>
    <row r="157" spans="1:13" ht="16.149999999999999" customHeight="1" x14ac:dyDescent="0.2">
      <c r="A157" s="12">
        <v>9.6999999999999993</v>
      </c>
      <c r="B157" s="16" t="s">
        <v>184</v>
      </c>
      <c r="C157" s="60">
        <v>14</v>
      </c>
      <c r="D157" s="24" t="s">
        <v>27</v>
      </c>
      <c r="E157" s="17">
        <v>3050</v>
      </c>
      <c r="F157" s="17">
        <f>+C157*E157</f>
        <v>42700</v>
      </c>
      <c r="G157" s="17">
        <v>70</v>
      </c>
      <c r="H157" s="17">
        <f>+C157*G157</f>
        <v>980</v>
      </c>
      <c r="I157" s="17">
        <f>+F157+H157</f>
        <v>43680</v>
      </c>
      <c r="J157" s="159"/>
    </row>
    <row r="158" spans="1:13" ht="16.149999999999999" customHeight="1" x14ac:dyDescent="0.2">
      <c r="A158" s="12">
        <v>9.8000000000000007</v>
      </c>
      <c r="B158" s="16" t="s">
        <v>171</v>
      </c>
      <c r="C158" s="60">
        <v>14</v>
      </c>
      <c r="D158" s="24" t="s">
        <v>27</v>
      </c>
      <c r="E158" s="17">
        <v>350</v>
      </c>
      <c r="F158" s="17">
        <f>+C158*E158</f>
        <v>4900</v>
      </c>
      <c r="G158" s="17">
        <v>35</v>
      </c>
      <c r="H158" s="17">
        <f>+C158*G158</f>
        <v>490</v>
      </c>
      <c r="I158" s="17">
        <f>+F158+H158</f>
        <v>5390</v>
      </c>
      <c r="J158" s="159"/>
    </row>
    <row r="159" spans="1:13" ht="16.149999999999999" customHeight="1" x14ac:dyDescent="0.2">
      <c r="A159" s="12">
        <v>9.9</v>
      </c>
      <c r="B159" s="121" t="s">
        <v>234</v>
      </c>
      <c r="C159" s="60">
        <v>14</v>
      </c>
      <c r="D159" s="24" t="s">
        <v>27</v>
      </c>
      <c r="E159" s="17">
        <v>1790</v>
      </c>
      <c r="F159" s="17">
        <f>+C159*E159</f>
        <v>25060</v>
      </c>
      <c r="G159" s="17">
        <v>75</v>
      </c>
      <c r="H159" s="17">
        <f>+C159*G159</f>
        <v>1050</v>
      </c>
      <c r="I159" s="17">
        <f>+F159+H159</f>
        <v>26110</v>
      </c>
      <c r="J159" s="159"/>
    </row>
    <row r="160" spans="1:13" ht="16.149999999999999" customHeight="1" x14ac:dyDescent="0.2">
      <c r="A160" s="15">
        <v>9.1</v>
      </c>
      <c r="B160" s="16" t="s">
        <v>185</v>
      </c>
      <c r="C160" s="60">
        <f>3*14</f>
        <v>42</v>
      </c>
      <c r="D160" s="24" t="s">
        <v>27</v>
      </c>
      <c r="E160" s="17">
        <v>270</v>
      </c>
      <c r="F160" s="17">
        <f t="shared" si="25"/>
        <v>11340</v>
      </c>
      <c r="G160" s="17">
        <v>35</v>
      </c>
      <c r="H160" s="17">
        <f t="shared" si="26"/>
        <v>1470</v>
      </c>
      <c r="I160" s="17">
        <f t="shared" si="27"/>
        <v>12810</v>
      </c>
      <c r="J160" s="179"/>
    </row>
    <row r="161" spans="1:19" ht="16.149999999999999" customHeight="1" x14ac:dyDescent="0.2">
      <c r="A161" s="12">
        <v>9.11</v>
      </c>
      <c r="B161" s="16" t="s">
        <v>170</v>
      </c>
      <c r="C161" s="60">
        <v>14</v>
      </c>
      <c r="D161" s="24" t="s">
        <v>27</v>
      </c>
      <c r="E161" s="17">
        <v>149</v>
      </c>
      <c r="F161" s="17">
        <f t="shared" si="25"/>
        <v>2086</v>
      </c>
      <c r="G161" s="17">
        <v>25</v>
      </c>
      <c r="H161" s="17">
        <f t="shared" si="26"/>
        <v>350</v>
      </c>
      <c r="I161" s="17">
        <f t="shared" si="27"/>
        <v>2436</v>
      </c>
      <c r="J161" s="159"/>
      <c r="K161" s="84">
        <f>SUM(I155:I162)</f>
        <v>134868.71635999999</v>
      </c>
    </row>
    <row r="162" spans="1:19" ht="16.149999999999999" customHeight="1" x14ac:dyDescent="0.2">
      <c r="A162" s="12">
        <v>9.1199999999999992</v>
      </c>
      <c r="B162" s="16" t="s">
        <v>124</v>
      </c>
      <c r="C162" s="60">
        <v>14</v>
      </c>
      <c r="D162" s="24" t="s">
        <v>27</v>
      </c>
      <c r="E162" s="17">
        <f>[1]ราคา!F357</f>
        <v>1101.62574</v>
      </c>
      <c r="F162" s="17">
        <f t="shared" si="25"/>
        <v>15422.76036</v>
      </c>
      <c r="G162" s="17">
        <f>[1]ราคา!H357</f>
        <v>422.85400000000004</v>
      </c>
      <c r="H162" s="17">
        <f t="shared" si="26"/>
        <v>5919.9560000000001</v>
      </c>
      <c r="I162" s="17">
        <f t="shared" si="27"/>
        <v>21342.716359999999</v>
      </c>
      <c r="J162" s="179"/>
      <c r="K162" s="187">
        <f>K152+K161</f>
        <v>699628.71635999996</v>
      </c>
    </row>
    <row r="163" spans="1:19" ht="16.149999999999999" customHeight="1" x14ac:dyDescent="0.2">
      <c r="A163" s="12"/>
      <c r="B163" s="16"/>
      <c r="C163" s="60"/>
      <c r="D163" s="24"/>
      <c r="E163" s="17"/>
      <c r="F163" s="17"/>
      <c r="G163" s="17"/>
      <c r="H163" s="17"/>
      <c r="I163" s="17"/>
      <c r="J163" s="179"/>
    </row>
    <row r="164" spans="1:19" ht="16.149999999999999" customHeight="1" x14ac:dyDescent="0.2">
      <c r="A164" s="80">
        <v>10</v>
      </c>
      <c r="B164" s="165" t="s">
        <v>65</v>
      </c>
      <c r="C164" s="88"/>
      <c r="D164" s="88"/>
      <c r="E164" s="89"/>
      <c r="F164" s="89"/>
      <c r="G164" s="89"/>
      <c r="H164" s="89"/>
      <c r="I164" s="89"/>
      <c r="J164" s="179"/>
    </row>
    <row r="165" spans="1:19" ht="16.149999999999999" customHeight="1" x14ac:dyDescent="0.2">
      <c r="A165" s="12">
        <v>10.1</v>
      </c>
      <c r="B165" s="19" t="s">
        <v>237</v>
      </c>
      <c r="C165" s="26">
        <f>22+22</f>
        <v>44</v>
      </c>
      <c r="D165" s="24" t="s">
        <v>26</v>
      </c>
      <c r="E165" s="17">
        <v>550</v>
      </c>
      <c r="F165" s="17">
        <f>+C165*E165</f>
        <v>24200</v>
      </c>
      <c r="G165" s="17">
        <v>165</v>
      </c>
      <c r="H165" s="17">
        <f>+C165*G165</f>
        <v>7260</v>
      </c>
      <c r="I165" s="17">
        <f>+F165+H165</f>
        <v>31460</v>
      </c>
      <c r="J165" s="159"/>
    </row>
    <row r="166" spans="1:19" ht="16.149999999999999" customHeight="1" x14ac:dyDescent="0.2">
      <c r="A166" s="173">
        <v>10.199999999999999</v>
      </c>
      <c r="B166" s="19" t="s">
        <v>375</v>
      </c>
      <c r="C166" s="26">
        <v>135</v>
      </c>
      <c r="D166" s="24" t="s">
        <v>26</v>
      </c>
      <c r="E166" s="17">
        <f>552.67/4</f>
        <v>138.16749999999999</v>
      </c>
      <c r="F166" s="17">
        <f>+C166*E166</f>
        <v>18652.612499999999</v>
      </c>
      <c r="G166" s="17">
        <v>100</v>
      </c>
      <c r="H166" s="17">
        <f>+C166*G166</f>
        <v>13500</v>
      </c>
      <c r="I166" s="17">
        <f>+F166+H166</f>
        <v>32152.612499999999</v>
      </c>
      <c r="J166" s="159"/>
      <c r="M166" s="142"/>
    </row>
    <row r="167" spans="1:19" ht="16.149999999999999" customHeight="1" x14ac:dyDescent="0.2">
      <c r="A167" s="173">
        <v>10.3</v>
      </c>
      <c r="B167" s="19" t="s">
        <v>125</v>
      </c>
      <c r="C167" s="38">
        <v>10.53</v>
      </c>
      <c r="D167" s="24" t="s">
        <v>42</v>
      </c>
      <c r="E167" s="26">
        <f>E105</f>
        <v>630</v>
      </c>
      <c r="F167" s="17">
        <f t="shared" ref="F167:F177" si="28">C167*E167</f>
        <v>6633.9</v>
      </c>
      <c r="G167" s="26">
        <v>192</v>
      </c>
      <c r="H167" s="17">
        <f t="shared" ref="H167:H177" si="29">C167*G167</f>
        <v>2021.7599999999998</v>
      </c>
      <c r="I167" s="17">
        <f t="shared" ref="I167:I177" si="30">F167+H167</f>
        <v>8655.66</v>
      </c>
      <c r="J167" s="181"/>
      <c r="L167" s="83"/>
      <c r="S167" s="5" t="s">
        <v>240</v>
      </c>
    </row>
    <row r="168" spans="1:19" ht="16.149999999999999" customHeight="1" x14ac:dyDescent="0.2">
      <c r="A168" s="12">
        <v>10.4</v>
      </c>
      <c r="B168" s="19" t="s">
        <v>126</v>
      </c>
      <c r="C168" s="38">
        <v>62.4</v>
      </c>
      <c r="D168" s="36" t="s">
        <v>26</v>
      </c>
      <c r="E168" s="26">
        <v>209.23</v>
      </c>
      <c r="F168" s="17">
        <f t="shared" si="28"/>
        <v>13055.951999999999</v>
      </c>
      <c r="G168" s="26">
        <v>220</v>
      </c>
      <c r="H168" s="17">
        <f t="shared" si="29"/>
        <v>13728</v>
      </c>
      <c r="I168" s="17">
        <f t="shared" si="30"/>
        <v>26783.951999999997</v>
      </c>
      <c r="J168" s="181"/>
      <c r="L168" s="83"/>
      <c r="M168" s="83"/>
    </row>
    <row r="169" spans="1:19" ht="16.149999999999999" customHeight="1" x14ac:dyDescent="0.2">
      <c r="A169" s="173">
        <v>10.5</v>
      </c>
      <c r="B169" s="119" t="s">
        <v>327</v>
      </c>
      <c r="C169" s="38">
        <v>21.2</v>
      </c>
      <c r="D169" s="36" t="s">
        <v>26</v>
      </c>
      <c r="E169" s="17">
        <v>580.96</v>
      </c>
      <c r="F169" s="17">
        <f t="shared" si="28"/>
        <v>12316.352000000001</v>
      </c>
      <c r="G169" s="17">
        <v>175</v>
      </c>
      <c r="H169" s="17">
        <f t="shared" si="29"/>
        <v>3710</v>
      </c>
      <c r="I169" s="17">
        <f t="shared" si="30"/>
        <v>16026.352000000001</v>
      </c>
      <c r="J169" s="181"/>
      <c r="L169" s="83"/>
      <c r="M169" s="83"/>
    </row>
    <row r="170" spans="1:19" ht="16.149999999999999" customHeight="1" x14ac:dyDescent="0.2">
      <c r="A170" s="173">
        <v>10.6</v>
      </c>
      <c r="B170" s="19" t="s">
        <v>127</v>
      </c>
      <c r="C170" s="38">
        <v>6</v>
      </c>
      <c r="D170" s="39" t="s">
        <v>26</v>
      </c>
      <c r="E170" s="26">
        <f>E168</f>
        <v>209.23</v>
      </c>
      <c r="F170" s="17">
        <f t="shared" si="28"/>
        <v>1255.3799999999999</v>
      </c>
      <c r="G170" s="26">
        <v>183</v>
      </c>
      <c r="H170" s="17">
        <f t="shared" si="29"/>
        <v>1098</v>
      </c>
      <c r="I170" s="17">
        <f t="shared" si="30"/>
        <v>2353.38</v>
      </c>
      <c r="J170" s="181"/>
      <c r="L170" s="83"/>
    </row>
    <row r="171" spans="1:19" ht="16.149999999999999" customHeight="1" x14ac:dyDescent="0.2">
      <c r="A171" s="173">
        <v>10.3</v>
      </c>
      <c r="B171" s="19" t="s">
        <v>238</v>
      </c>
      <c r="C171" s="38">
        <v>4.08</v>
      </c>
      <c r="D171" s="24" t="s">
        <v>42</v>
      </c>
      <c r="E171" s="26">
        <v>630</v>
      </c>
      <c r="F171" s="17">
        <f t="shared" si="28"/>
        <v>2570.4</v>
      </c>
      <c r="G171" s="26">
        <v>192</v>
      </c>
      <c r="H171" s="17">
        <f t="shared" si="29"/>
        <v>783.36</v>
      </c>
      <c r="I171" s="17">
        <f t="shared" si="30"/>
        <v>3353.76</v>
      </c>
      <c r="J171" s="181"/>
      <c r="L171" s="83"/>
    </row>
    <row r="172" spans="1:19" ht="16.149999999999999" customHeight="1" x14ac:dyDescent="0.2">
      <c r="A172" s="12">
        <v>10.4</v>
      </c>
      <c r="B172" s="19" t="s">
        <v>239</v>
      </c>
      <c r="C172" s="38">
        <v>38.4</v>
      </c>
      <c r="D172" s="36" t="s">
        <v>26</v>
      </c>
      <c r="E172" s="26">
        <v>209.23</v>
      </c>
      <c r="F172" s="17">
        <f t="shared" si="28"/>
        <v>8034.4319999999989</v>
      </c>
      <c r="G172" s="26">
        <v>220</v>
      </c>
      <c r="H172" s="17">
        <f t="shared" si="29"/>
        <v>8448</v>
      </c>
      <c r="I172" s="17">
        <f t="shared" si="30"/>
        <v>16482.432000000001</v>
      </c>
      <c r="J172" s="181"/>
      <c r="L172" s="83"/>
      <c r="M172" s="83"/>
    </row>
    <row r="173" spans="1:19" ht="16.149999999999999" customHeight="1" x14ac:dyDescent="0.2">
      <c r="A173" s="173">
        <v>10.5</v>
      </c>
      <c r="B173" s="119" t="s">
        <v>328</v>
      </c>
      <c r="C173" s="38">
        <v>49.1</v>
      </c>
      <c r="D173" s="36" t="s">
        <v>26</v>
      </c>
      <c r="E173" s="17">
        <v>408.63</v>
      </c>
      <c r="F173" s="17">
        <f t="shared" si="28"/>
        <v>20063.733</v>
      </c>
      <c r="G173" s="17">
        <v>125</v>
      </c>
      <c r="H173" s="17">
        <f t="shared" si="29"/>
        <v>6137.5</v>
      </c>
      <c r="I173" s="17">
        <f t="shared" si="30"/>
        <v>26201.233</v>
      </c>
      <c r="J173" s="181"/>
      <c r="L173" s="83"/>
      <c r="M173" s="83"/>
    </row>
    <row r="174" spans="1:19" ht="16.149999999999999" customHeight="1" x14ac:dyDescent="0.2">
      <c r="A174" s="12">
        <v>10.7</v>
      </c>
      <c r="B174" s="35" t="s">
        <v>421</v>
      </c>
      <c r="C174" s="38">
        <v>1</v>
      </c>
      <c r="D174" s="39" t="s">
        <v>27</v>
      </c>
      <c r="E174" s="26">
        <v>1580</v>
      </c>
      <c r="F174" s="17">
        <f t="shared" si="28"/>
        <v>1580</v>
      </c>
      <c r="G174" s="26">
        <v>500</v>
      </c>
      <c r="H174" s="17">
        <f t="shared" si="29"/>
        <v>500</v>
      </c>
      <c r="I174" s="17">
        <f t="shared" si="30"/>
        <v>2080</v>
      </c>
      <c r="J174" s="181"/>
    </row>
    <row r="175" spans="1:19" ht="16.149999999999999" customHeight="1" x14ac:dyDescent="0.2">
      <c r="A175" s="173">
        <v>10.8</v>
      </c>
      <c r="B175" s="141" t="s">
        <v>316</v>
      </c>
      <c r="C175" s="38">
        <v>107.3</v>
      </c>
      <c r="D175" s="39" t="s">
        <v>26</v>
      </c>
      <c r="E175" s="26">
        <v>239</v>
      </c>
      <c r="F175" s="17">
        <f t="shared" si="28"/>
        <v>25644.7</v>
      </c>
      <c r="G175" s="26">
        <v>70</v>
      </c>
      <c r="H175" s="17">
        <f t="shared" si="29"/>
        <v>7511</v>
      </c>
      <c r="I175" s="17">
        <f t="shared" si="30"/>
        <v>33155.699999999997</v>
      </c>
      <c r="J175" s="181"/>
      <c r="L175" s="83"/>
    </row>
    <row r="176" spans="1:19" ht="16.149999999999999" customHeight="1" x14ac:dyDescent="0.2">
      <c r="A176" s="173">
        <v>10.9</v>
      </c>
      <c r="B176" s="40" t="s">
        <v>329</v>
      </c>
      <c r="C176" s="38">
        <v>2.65</v>
      </c>
      <c r="D176" s="39" t="s">
        <v>26</v>
      </c>
      <c r="E176" s="17">
        <v>350</v>
      </c>
      <c r="F176" s="17">
        <f t="shared" si="28"/>
        <v>927.5</v>
      </c>
      <c r="G176" s="26">
        <v>125</v>
      </c>
      <c r="H176" s="17">
        <f t="shared" si="29"/>
        <v>331.25</v>
      </c>
      <c r="I176" s="17">
        <f t="shared" si="30"/>
        <v>1258.75</v>
      </c>
      <c r="J176" s="181"/>
    </row>
    <row r="177" spans="1:14" ht="16.149999999999999" customHeight="1" x14ac:dyDescent="0.2">
      <c r="A177" s="15">
        <v>10.1</v>
      </c>
      <c r="B177" s="40" t="s">
        <v>420</v>
      </c>
      <c r="C177" s="38">
        <v>10</v>
      </c>
      <c r="D177" s="39" t="s">
        <v>26</v>
      </c>
      <c r="E177" s="17">
        <v>916</v>
      </c>
      <c r="F177" s="17">
        <f t="shared" si="28"/>
        <v>9160</v>
      </c>
      <c r="G177" s="26">
        <v>275</v>
      </c>
      <c r="H177" s="17">
        <f t="shared" si="29"/>
        <v>2750</v>
      </c>
      <c r="I177" s="17">
        <f t="shared" si="30"/>
        <v>11910</v>
      </c>
      <c r="J177" s="182"/>
      <c r="L177" s="83"/>
    </row>
    <row r="178" spans="1:14" ht="16.149999999999999" customHeight="1" x14ac:dyDescent="0.2">
      <c r="A178" s="173">
        <v>10.11</v>
      </c>
      <c r="B178" s="119" t="s">
        <v>261</v>
      </c>
      <c r="C178" s="24">
        <v>57.6</v>
      </c>
      <c r="D178" s="24" t="s">
        <v>42</v>
      </c>
      <c r="E178" s="17">
        <v>1808</v>
      </c>
      <c r="F178" s="17">
        <f>+C178*E178</f>
        <v>104140.8</v>
      </c>
      <c r="G178" s="17">
        <v>540</v>
      </c>
      <c r="H178" s="17">
        <f>+C178*G178</f>
        <v>31104</v>
      </c>
      <c r="I178" s="17">
        <f>+F178+H178</f>
        <v>135244.79999999999</v>
      </c>
      <c r="J178" s="159"/>
      <c r="L178" s="83"/>
      <c r="N178" s="83"/>
    </row>
    <row r="179" spans="1:14" ht="16.149999999999999" customHeight="1" x14ac:dyDescent="0.2">
      <c r="A179" s="173">
        <v>10.119999999999999</v>
      </c>
      <c r="B179" s="19" t="s">
        <v>169</v>
      </c>
      <c r="C179" s="38">
        <v>1</v>
      </c>
      <c r="D179" s="39" t="s">
        <v>27</v>
      </c>
      <c r="E179" s="17">
        <v>1500</v>
      </c>
      <c r="F179" s="17">
        <f>+C179*E179</f>
        <v>1500</v>
      </c>
      <c r="G179" s="17">
        <v>300</v>
      </c>
      <c r="H179" s="17">
        <f>+C179*G179</f>
        <v>300</v>
      </c>
      <c r="I179" s="17">
        <f>+F179+H179</f>
        <v>1800</v>
      </c>
      <c r="J179" s="179"/>
      <c r="K179" s="187">
        <f>SUM(I165:I179)</f>
        <v>348918.63150000002</v>
      </c>
    </row>
    <row r="180" spans="1:14" ht="16.149999999999999" customHeight="1" x14ac:dyDescent="0.2">
      <c r="A180" s="173"/>
      <c r="B180" s="18"/>
      <c r="C180" s="38"/>
      <c r="D180" s="39"/>
      <c r="E180" s="17"/>
      <c r="F180" s="17"/>
      <c r="G180" s="17"/>
      <c r="H180" s="17"/>
      <c r="I180" s="17"/>
      <c r="J180" s="179"/>
    </row>
    <row r="181" spans="1:14" ht="16.149999999999999" customHeight="1" x14ac:dyDescent="0.2">
      <c r="A181" s="173"/>
      <c r="B181" s="18"/>
      <c r="C181" s="38"/>
      <c r="D181" s="39"/>
      <c r="E181" s="17"/>
      <c r="F181" s="17"/>
      <c r="G181" s="17"/>
      <c r="H181" s="17"/>
      <c r="I181" s="17"/>
      <c r="J181" s="179"/>
    </row>
    <row r="182" spans="1:14" ht="16.149999999999999" customHeight="1" x14ac:dyDescent="0.2">
      <c r="A182" s="43"/>
      <c r="B182" s="32" t="s">
        <v>22</v>
      </c>
      <c r="C182" s="55"/>
      <c r="D182" s="55"/>
      <c r="E182" s="56"/>
      <c r="F182" s="56"/>
      <c r="G182" s="56"/>
      <c r="H182" s="56"/>
      <c r="I182" s="56">
        <f>SUM(I154:I181)</f>
        <v>9120349.67197036</v>
      </c>
      <c r="J182" s="180"/>
    </row>
    <row r="183" spans="1:14" ht="16.149999999999999" customHeight="1" x14ac:dyDescent="0.2">
      <c r="A183" s="57"/>
      <c r="B183" s="33" t="s">
        <v>23</v>
      </c>
      <c r="C183" s="58"/>
      <c r="D183" s="58"/>
      <c r="E183" s="59"/>
      <c r="F183" s="59"/>
      <c r="G183" s="59"/>
      <c r="H183" s="59"/>
      <c r="I183" s="59">
        <f>I182</f>
        <v>9120349.67197036</v>
      </c>
      <c r="J183" s="33"/>
    </row>
    <row r="184" spans="1:14" ht="16.149999999999999" customHeight="1" x14ac:dyDescent="0.2">
      <c r="A184" s="80">
        <v>11</v>
      </c>
      <c r="B184" s="99" t="s">
        <v>66</v>
      </c>
      <c r="C184" s="88"/>
      <c r="D184" s="88"/>
      <c r="E184" s="89"/>
      <c r="F184" s="89"/>
      <c r="G184" s="89"/>
      <c r="H184" s="89"/>
      <c r="I184" s="89"/>
      <c r="J184" s="179"/>
    </row>
    <row r="185" spans="1:14" ht="16.149999999999999" customHeight="1" x14ac:dyDescent="0.2">
      <c r="A185" s="12">
        <v>11.1</v>
      </c>
      <c r="B185" s="18" t="s">
        <v>369</v>
      </c>
      <c r="C185" s="88">
        <v>24</v>
      </c>
      <c r="D185" s="24" t="s">
        <v>26</v>
      </c>
      <c r="E185" s="89">
        <f>1165.86/6</f>
        <v>194.30999999999997</v>
      </c>
      <c r="F185" s="17">
        <f t="shared" ref="F185:F191" si="31">+C185*E185</f>
        <v>4663.4399999999996</v>
      </c>
      <c r="G185" s="89">
        <v>110</v>
      </c>
      <c r="H185" s="17">
        <f t="shared" ref="H185:H191" si="32">+C185*G185</f>
        <v>2640</v>
      </c>
      <c r="I185" s="17">
        <f t="shared" ref="I185:I191" si="33">+F185+H185</f>
        <v>7303.44</v>
      </c>
      <c r="J185" s="179"/>
    </row>
    <row r="186" spans="1:14" ht="16.149999999999999" customHeight="1" x14ac:dyDescent="0.2">
      <c r="A186" s="12">
        <v>11.1</v>
      </c>
      <c r="B186" s="19" t="s">
        <v>172</v>
      </c>
      <c r="C186" s="17">
        <v>220</v>
      </c>
      <c r="D186" s="24" t="s">
        <v>26</v>
      </c>
      <c r="E186" s="17">
        <v>12.38</v>
      </c>
      <c r="F186" s="17">
        <f t="shared" si="31"/>
        <v>2723.6000000000004</v>
      </c>
      <c r="G186" s="17">
        <v>30</v>
      </c>
      <c r="H186" s="17">
        <f t="shared" si="32"/>
        <v>6600</v>
      </c>
      <c r="I186" s="17">
        <f t="shared" si="33"/>
        <v>9323.6</v>
      </c>
      <c r="J186" s="12"/>
      <c r="L186" s="83"/>
    </row>
    <row r="187" spans="1:14" ht="16.149999999999999" customHeight="1" x14ac:dyDescent="0.2">
      <c r="A187" s="12">
        <v>11.2</v>
      </c>
      <c r="B187" s="19" t="s">
        <v>173</v>
      </c>
      <c r="C187" s="17">
        <v>56</v>
      </c>
      <c r="D187" s="24" t="s">
        <v>26</v>
      </c>
      <c r="E187" s="17">
        <v>14.96</v>
      </c>
      <c r="F187" s="17">
        <f t="shared" si="31"/>
        <v>837.76</v>
      </c>
      <c r="G187" s="17">
        <v>30</v>
      </c>
      <c r="H187" s="17">
        <f t="shared" si="32"/>
        <v>1680</v>
      </c>
      <c r="I187" s="17">
        <f t="shared" si="33"/>
        <v>2517.7600000000002</v>
      </c>
      <c r="J187" s="12"/>
      <c r="L187" s="83"/>
    </row>
    <row r="188" spans="1:14" ht="16.149999999999999" customHeight="1" x14ac:dyDescent="0.2">
      <c r="A188" s="12">
        <v>11.3</v>
      </c>
      <c r="B188" s="19" t="s">
        <v>319</v>
      </c>
      <c r="C188" s="17">
        <v>28</v>
      </c>
      <c r="D188" s="24" t="s">
        <v>26</v>
      </c>
      <c r="E188" s="17">
        <v>23.72</v>
      </c>
      <c r="F188" s="17">
        <f t="shared" si="31"/>
        <v>664.16</v>
      </c>
      <c r="G188" s="17">
        <v>30</v>
      </c>
      <c r="H188" s="17">
        <f t="shared" si="32"/>
        <v>840</v>
      </c>
      <c r="I188" s="17">
        <f t="shared" si="33"/>
        <v>1504.1599999999999</v>
      </c>
      <c r="J188" s="12"/>
      <c r="L188" s="83"/>
    </row>
    <row r="189" spans="1:14" ht="16.149999999999999" customHeight="1" x14ac:dyDescent="0.2">
      <c r="A189" s="12">
        <v>11.4</v>
      </c>
      <c r="B189" s="19" t="s">
        <v>262</v>
      </c>
      <c r="C189" s="17">
        <f>48+32</f>
        <v>80</v>
      </c>
      <c r="D189" s="24" t="s">
        <v>26</v>
      </c>
      <c r="E189" s="17">
        <v>61.22</v>
      </c>
      <c r="F189" s="17">
        <f t="shared" si="31"/>
        <v>4897.6000000000004</v>
      </c>
      <c r="G189" s="17">
        <v>40</v>
      </c>
      <c r="H189" s="17">
        <f t="shared" si="32"/>
        <v>3200</v>
      </c>
      <c r="I189" s="17">
        <f t="shared" si="33"/>
        <v>8097.6</v>
      </c>
      <c r="J189" s="160" t="s">
        <v>263</v>
      </c>
      <c r="L189" s="83"/>
    </row>
    <row r="190" spans="1:14" ht="16.149999999999999" customHeight="1" x14ac:dyDescent="0.2">
      <c r="A190" s="12">
        <v>11.5</v>
      </c>
      <c r="B190" s="19" t="s">
        <v>174</v>
      </c>
      <c r="C190" s="17">
        <v>52</v>
      </c>
      <c r="D190" s="24" t="s">
        <v>26</v>
      </c>
      <c r="E190" s="17">
        <v>290.5</v>
      </c>
      <c r="F190" s="17">
        <f t="shared" si="31"/>
        <v>15106</v>
      </c>
      <c r="G190" s="17">
        <v>250</v>
      </c>
      <c r="H190" s="17">
        <f t="shared" si="32"/>
        <v>13000</v>
      </c>
      <c r="I190" s="17">
        <f t="shared" si="33"/>
        <v>28106</v>
      </c>
      <c r="J190" s="12"/>
      <c r="L190" s="83"/>
    </row>
    <row r="191" spans="1:14" ht="16.149999999999999" customHeight="1" x14ac:dyDescent="0.2">
      <c r="A191" s="12">
        <v>11.6</v>
      </c>
      <c r="B191" s="19" t="s">
        <v>175</v>
      </c>
      <c r="C191" s="17">
        <v>204</v>
      </c>
      <c r="D191" s="24" t="s">
        <v>26</v>
      </c>
      <c r="E191" s="17">
        <v>136.75</v>
      </c>
      <c r="F191" s="17">
        <f t="shared" si="31"/>
        <v>27897</v>
      </c>
      <c r="G191" s="17">
        <v>120</v>
      </c>
      <c r="H191" s="17">
        <f t="shared" si="32"/>
        <v>24480</v>
      </c>
      <c r="I191" s="17">
        <f t="shared" si="33"/>
        <v>52377</v>
      </c>
      <c r="J191" s="12"/>
      <c r="L191" s="83"/>
    </row>
    <row r="192" spans="1:14" ht="16.149999999999999" customHeight="1" x14ac:dyDescent="0.2">
      <c r="A192" s="12">
        <v>11.7</v>
      </c>
      <c r="B192" s="19" t="s">
        <v>176</v>
      </c>
      <c r="C192" s="17">
        <v>68</v>
      </c>
      <c r="D192" s="24" t="s">
        <v>26</v>
      </c>
      <c r="E192" s="17">
        <v>85</v>
      </c>
      <c r="F192" s="17">
        <f t="shared" ref="F192:F197" si="34">+C192*E192</f>
        <v>5780</v>
      </c>
      <c r="G192" s="17">
        <v>75</v>
      </c>
      <c r="H192" s="17">
        <f t="shared" ref="H192:H197" si="35">+C192*G192</f>
        <v>5100</v>
      </c>
      <c r="I192" s="17">
        <f t="shared" ref="I192:I197" si="36">+F192+H192</f>
        <v>10880</v>
      </c>
      <c r="J192" s="12"/>
      <c r="L192" s="83"/>
    </row>
    <row r="193" spans="1:12" ht="16.149999999999999" customHeight="1" x14ac:dyDescent="0.2">
      <c r="A193" s="12">
        <v>11.8</v>
      </c>
      <c r="B193" s="19" t="s">
        <v>318</v>
      </c>
      <c r="C193" s="17">
        <v>180</v>
      </c>
      <c r="D193" s="24" t="s">
        <v>26</v>
      </c>
      <c r="E193" s="17">
        <v>38.75</v>
      </c>
      <c r="F193" s="17">
        <f t="shared" si="34"/>
        <v>6975</v>
      </c>
      <c r="G193" s="17">
        <v>40</v>
      </c>
      <c r="H193" s="17">
        <f t="shared" si="35"/>
        <v>7200</v>
      </c>
      <c r="I193" s="17">
        <f t="shared" si="36"/>
        <v>14175</v>
      </c>
      <c r="J193" s="12"/>
      <c r="L193" s="83"/>
    </row>
    <row r="194" spans="1:12" ht="16.149999999999999" customHeight="1" x14ac:dyDescent="0.2">
      <c r="A194" s="174">
        <v>11.9</v>
      </c>
      <c r="B194" s="19" t="s">
        <v>177</v>
      </c>
      <c r="C194" s="17">
        <v>52</v>
      </c>
      <c r="D194" s="24" t="s">
        <v>26</v>
      </c>
      <c r="E194" s="17">
        <v>24.5</v>
      </c>
      <c r="F194" s="17">
        <f t="shared" si="34"/>
        <v>1274</v>
      </c>
      <c r="G194" s="17">
        <v>30</v>
      </c>
      <c r="H194" s="17">
        <f>+C194*G194</f>
        <v>1560</v>
      </c>
      <c r="I194" s="17">
        <f>+F194+H194</f>
        <v>2834</v>
      </c>
      <c r="J194" s="12"/>
      <c r="L194" s="83"/>
    </row>
    <row r="195" spans="1:12" ht="16.149999999999999" customHeight="1" x14ac:dyDescent="0.2">
      <c r="A195" s="15">
        <v>11.1</v>
      </c>
      <c r="B195" s="19" t="s">
        <v>325</v>
      </c>
      <c r="C195" s="24">
        <v>112</v>
      </c>
      <c r="D195" s="24" t="s">
        <v>26</v>
      </c>
      <c r="E195" s="17">
        <v>15</v>
      </c>
      <c r="F195" s="17">
        <f t="shared" si="34"/>
        <v>1680</v>
      </c>
      <c r="G195" s="17">
        <v>30</v>
      </c>
      <c r="H195" s="17">
        <f t="shared" si="35"/>
        <v>3360</v>
      </c>
      <c r="I195" s="17">
        <f t="shared" si="36"/>
        <v>5040</v>
      </c>
      <c r="J195" s="12"/>
      <c r="L195" s="83"/>
    </row>
    <row r="196" spans="1:12" ht="16.149999999999999" customHeight="1" x14ac:dyDescent="0.2">
      <c r="A196" s="12">
        <v>11.11</v>
      </c>
      <c r="B196" s="18" t="s">
        <v>102</v>
      </c>
      <c r="C196" s="60">
        <v>1</v>
      </c>
      <c r="D196" s="24" t="s">
        <v>101</v>
      </c>
      <c r="E196" s="143">
        <f>SUM(F185:F195)*0.5</f>
        <v>36249.279999999999</v>
      </c>
      <c r="F196" s="17">
        <f t="shared" si="34"/>
        <v>36249.279999999999</v>
      </c>
      <c r="G196" s="17">
        <f>E196*0.3</f>
        <v>10874.784</v>
      </c>
      <c r="H196" s="17">
        <f t="shared" si="35"/>
        <v>10874.784</v>
      </c>
      <c r="I196" s="17">
        <f t="shared" si="36"/>
        <v>47124.063999999998</v>
      </c>
      <c r="J196" s="179"/>
    </row>
    <row r="197" spans="1:12" ht="16.149999999999999" customHeight="1" x14ac:dyDescent="0.2">
      <c r="A197" s="12">
        <v>11.12</v>
      </c>
      <c r="B197" s="18" t="s">
        <v>103</v>
      </c>
      <c r="C197" s="60">
        <v>1</v>
      </c>
      <c r="D197" s="24" t="s">
        <v>101</v>
      </c>
      <c r="E197" s="17">
        <f>SUM(F185:F196)*0.3</f>
        <v>32624.351999999999</v>
      </c>
      <c r="F197" s="17">
        <f t="shared" si="34"/>
        <v>32624.351999999999</v>
      </c>
      <c r="G197" s="17">
        <f>E197*0.3</f>
        <v>9787.3055999999997</v>
      </c>
      <c r="H197" s="17">
        <f t="shared" si="35"/>
        <v>9787.3055999999997</v>
      </c>
      <c r="I197" s="17">
        <f t="shared" si="36"/>
        <v>42411.657599999999</v>
      </c>
      <c r="J197" s="179"/>
    </row>
    <row r="198" spans="1:12" ht="16.149999999999999" customHeight="1" x14ac:dyDescent="0.2">
      <c r="A198" s="12">
        <v>11.14</v>
      </c>
      <c r="B198" s="18" t="s">
        <v>320</v>
      </c>
      <c r="C198" s="60">
        <v>12</v>
      </c>
      <c r="D198" s="24" t="s">
        <v>111</v>
      </c>
      <c r="E198" s="17">
        <v>846.45</v>
      </c>
      <c r="F198" s="17">
        <f t="shared" ref="F198:F205" si="37">C198*E198</f>
        <v>10157.400000000001</v>
      </c>
      <c r="G198" s="17">
        <v>400</v>
      </c>
      <c r="H198" s="17">
        <f>C198*G198</f>
        <v>4800</v>
      </c>
      <c r="I198" s="17">
        <f>F198+H198</f>
        <v>14957.400000000001</v>
      </c>
      <c r="J198" s="179"/>
    </row>
    <row r="199" spans="1:12" ht="16.149999999999999" customHeight="1" x14ac:dyDescent="0.2">
      <c r="A199" s="12">
        <v>11.14</v>
      </c>
      <c r="B199" s="18" t="s">
        <v>321</v>
      </c>
      <c r="C199" s="60">
        <v>4</v>
      </c>
      <c r="D199" s="24" t="s">
        <v>111</v>
      </c>
      <c r="E199" s="17">
        <v>465.3</v>
      </c>
      <c r="F199" s="17">
        <f t="shared" si="37"/>
        <v>1861.2</v>
      </c>
      <c r="G199" s="17">
        <v>300</v>
      </c>
      <c r="H199" s="17">
        <f t="shared" ref="H199:H205" si="38">C199*G199</f>
        <v>1200</v>
      </c>
      <c r="I199" s="17">
        <f t="shared" ref="I199:I205" si="39">F199+H199</f>
        <v>3061.2</v>
      </c>
      <c r="J199" s="179"/>
    </row>
    <row r="200" spans="1:12" ht="16.149999999999999" customHeight="1" x14ac:dyDescent="0.2">
      <c r="A200" s="12">
        <v>11.15</v>
      </c>
      <c r="B200" s="18" t="s">
        <v>360</v>
      </c>
      <c r="C200" s="60">
        <v>20</v>
      </c>
      <c r="D200" s="24" t="s">
        <v>111</v>
      </c>
      <c r="E200" s="17">
        <v>133.69999999999999</v>
      </c>
      <c r="F200" s="17">
        <f t="shared" si="37"/>
        <v>2674</v>
      </c>
      <c r="G200" s="17">
        <v>100</v>
      </c>
      <c r="H200" s="17">
        <f t="shared" si="38"/>
        <v>2000</v>
      </c>
      <c r="I200" s="17">
        <f t="shared" si="39"/>
        <v>4674</v>
      </c>
      <c r="J200" s="179"/>
    </row>
    <row r="201" spans="1:12" ht="16.149999999999999" customHeight="1" x14ac:dyDescent="0.2">
      <c r="A201" s="15">
        <v>11.16</v>
      </c>
      <c r="B201" s="18" t="s">
        <v>322</v>
      </c>
      <c r="C201" s="60">
        <v>1</v>
      </c>
      <c r="D201" s="24" t="s">
        <v>111</v>
      </c>
      <c r="E201" s="17">
        <v>852.55</v>
      </c>
      <c r="F201" s="17">
        <f t="shared" si="37"/>
        <v>852.55</v>
      </c>
      <c r="G201" s="17">
        <v>300</v>
      </c>
      <c r="H201" s="17">
        <f t="shared" si="38"/>
        <v>300</v>
      </c>
      <c r="I201" s="17">
        <f t="shared" si="39"/>
        <v>1152.55</v>
      </c>
      <c r="J201" s="179"/>
    </row>
    <row r="202" spans="1:12" ht="16.149999999999999" customHeight="1" x14ac:dyDescent="0.2">
      <c r="A202" s="12">
        <v>11.17</v>
      </c>
      <c r="B202" s="18" t="s">
        <v>323</v>
      </c>
      <c r="C202" s="60">
        <v>5</v>
      </c>
      <c r="D202" s="24" t="s">
        <v>111</v>
      </c>
      <c r="E202" s="17">
        <v>1342.25</v>
      </c>
      <c r="F202" s="17">
        <f t="shared" si="37"/>
        <v>6711.25</v>
      </c>
      <c r="G202" s="17">
        <v>400</v>
      </c>
      <c r="H202" s="17">
        <f t="shared" si="38"/>
        <v>2000</v>
      </c>
      <c r="I202" s="17">
        <f t="shared" si="39"/>
        <v>8711.25</v>
      </c>
      <c r="J202" s="179"/>
    </row>
    <row r="203" spans="1:12" ht="16.149999999999999" customHeight="1" x14ac:dyDescent="0.2">
      <c r="A203" s="12">
        <v>11.18</v>
      </c>
      <c r="B203" s="18" t="s">
        <v>361</v>
      </c>
      <c r="C203" s="60">
        <v>10</v>
      </c>
      <c r="D203" s="24" t="s">
        <v>111</v>
      </c>
      <c r="E203" s="17">
        <v>148</v>
      </c>
      <c r="F203" s="17">
        <f t="shared" si="37"/>
        <v>1480</v>
      </c>
      <c r="G203" s="17">
        <v>200</v>
      </c>
      <c r="H203" s="17">
        <f t="shared" si="38"/>
        <v>2000</v>
      </c>
      <c r="I203" s="17">
        <f t="shared" si="39"/>
        <v>3480</v>
      </c>
      <c r="J203" s="179"/>
    </row>
    <row r="204" spans="1:12" ht="16.149999999999999" customHeight="1" x14ac:dyDescent="0.2">
      <c r="A204" s="15">
        <v>11.19</v>
      </c>
      <c r="B204" s="18" t="s">
        <v>362</v>
      </c>
      <c r="C204" s="60">
        <v>14</v>
      </c>
      <c r="D204" s="24" t="s">
        <v>111</v>
      </c>
      <c r="E204" s="17">
        <v>440</v>
      </c>
      <c r="F204" s="17">
        <f t="shared" si="37"/>
        <v>6160</v>
      </c>
      <c r="G204" s="17">
        <v>200</v>
      </c>
      <c r="H204" s="17">
        <f t="shared" si="38"/>
        <v>2800</v>
      </c>
      <c r="I204" s="17">
        <f t="shared" si="39"/>
        <v>8960</v>
      </c>
      <c r="J204" s="179"/>
    </row>
    <row r="205" spans="1:12" ht="16.149999999999999" customHeight="1" x14ac:dyDescent="0.2">
      <c r="A205" s="15">
        <v>11.2</v>
      </c>
      <c r="B205" s="18" t="s">
        <v>363</v>
      </c>
      <c r="C205" s="60">
        <v>16</v>
      </c>
      <c r="D205" s="24" t="s">
        <v>111</v>
      </c>
      <c r="E205" s="17">
        <v>340</v>
      </c>
      <c r="F205" s="17">
        <f t="shared" si="37"/>
        <v>5440</v>
      </c>
      <c r="G205" s="17">
        <v>200</v>
      </c>
      <c r="H205" s="17">
        <f t="shared" si="38"/>
        <v>3200</v>
      </c>
      <c r="I205" s="17">
        <f t="shared" si="39"/>
        <v>8640</v>
      </c>
      <c r="J205" s="179"/>
    </row>
    <row r="206" spans="1:12" ht="16.149999999999999" customHeight="1" x14ac:dyDescent="0.2">
      <c r="A206" s="12">
        <v>11.21</v>
      </c>
      <c r="B206" s="18" t="s">
        <v>324</v>
      </c>
      <c r="C206" s="60">
        <v>24</v>
      </c>
      <c r="D206" s="24" t="s">
        <v>111</v>
      </c>
      <c r="E206" s="17">
        <v>270</v>
      </c>
      <c r="F206" s="17">
        <f>C206*E206</f>
        <v>6480</v>
      </c>
      <c r="G206" s="17">
        <v>200</v>
      </c>
      <c r="H206" s="17">
        <f>C206*G206</f>
        <v>4800</v>
      </c>
      <c r="I206" s="17">
        <f>F206+H206</f>
        <v>11280</v>
      </c>
      <c r="J206" s="179"/>
    </row>
    <row r="207" spans="1:12" ht="16.149999999999999" customHeight="1" x14ac:dyDescent="0.2">
      <c r="A207" s="15">
        <v>11.22</v>
      </c>
      <c r="B207" s="18" t="s">
        <v>364</v>
      </c>
      <c r="C207" s="60">
        <v>14</v>
      </c>
      <c r="D207" s="24" t="s">
        <v>111</v>
      </c>
      <c r="E207" s="17">
        <v>750</v>
      </c>
      <c r="F207" s="17">
        <f>C207*E207</f>
        <v>10500</v>
      </c>
      <c r="G207" s="17">
        <v>200</v>
      </c>
      <c r="H207" s="17">
        <f>C207*G207</f>
        <v>2800</v>
      </c>
      <c r="I207" s="17">
        <f>F207+H207</f>
        <v>13300</v>
      </c>
      <c r="J207" s="179"/>
    </row>
    <row r="208" spans="1:12" ht="16.149999999999999" customHeight="1" x14ac:dyDescent="0.2">
      <c r="A208" s="12">
        <v>11.23</v>
      </c>
      <c r="B208" s="18" t="s">
        <v>365</v>
      </c>
      <c r="C208" s="60">
        <v>8</v>
      </c>
      <c r="D208" s="24" t="s">
        <v>111</v>
      </c>
      <c r="E208" s="17">
        <v>365</v>
      </c>
      <c r="F208" s="17">
        <f>C208*E208</f>
        <v>2920</v>
      </c>
      <c r="G208" s="17">
        <v>150</v>
      </c>
      <c r="H208" s="17">
        <f>C208*G208</f>
        <v>1200</v>
      </c>
      <c r="I208" s="17">
        <f>F208+H208</f>
        <v>4120</v>
      </c>
      <c r="J208" s="179"/>
    </row>
    <row r="209" spans="1:12" ht="16.149999999999999" customHeight="1" x14ac:dyDescent="0.2">
      <c r="A209" s="12">
        <v>11.24</v>
      </c>
      <c r="B209" s="18" t="s">
        <v>366</v>
      </c>
      <c r="C209" s="60">
        <v>1</v>
      </c>
      <c r="D209" s="24" t="s">
        <v>111</v>
      </c>
      <c r="E209" s="17">
        <v>2190</v>
      </c>
      <c r="F209" s="17">
        <f t="shared" ref="F209" si="40">C209*E209</f>
        <v>2190</v>
      </c>
      <c r="G209" s="17">
        <v>400</v>
      </c>
      <c r="H209" s="17">
        <f>C209*G209</f>
        <v>400</v>
      </c>
      <c r="I209" s="17">
        <f t="shared" ref="I209" si="41">F209+H209</f>
        <v>2590</v>
      </c>
      <c r="J209" s="179"/>
    </row>
    <row r="210" spans="1:12" ht="16.149999999999999" customHeight="1" x14ac:dyDescent="0.2">
      <c r="A210" s="15">
        <v>11.25</v>
      </c>
      <c r="B210" s="18" t="s">
        <v>367</v>
      </c>
      <c r="C210" s="60">
        <v>1</v>
      </c>
      <c r="D210" s="24" t="s">
        <v>111</v>
      </c>
      <c r="E210" s="17">
        <f>290+450</f>
        <v>740</v>
      </c>
      <c r="F210" s="17">
        <f>C210*E210</f>
        <v>740</v>
      </c>
      <c r="G210" s="17">
        <v>200</v>
      </c>
      <c r="H210" s="17">
        <f>C210*G210</f>
        <v>200</v>
      </c>
      <c r="I210" s="17">
        <f>F210+H210</f>
        <v>940</v>
      </c>
      <c r="J210" s="179"/>
      <c r="K210" s="84">
        <f>SUM(I185:I210)</f>
        <v>317560.68160000001</v>
      </c>
    </row>
    <row r="211" spans="1:12" ht="16.149999999999999" customHeight="1" x14ac:dyDescent="0.2">
      <c r="A211" s="50"/>
      <c r="B211" s="34" t="s">
        <v>22</v>
      </c>
      <c r="C211" s="64"/>
      <c r="D211" s="65"/>
      <c r="E211" s="66"/>
      <c r="F211" s="66"/>
      <c r="G211" s="66"/>
      <c r="H211" s="66"/>
      <c r="I211" s="66">
        <f>SUM(I183:I210)</f>
        <v>9437910.3535703588</v>
      </c>
      <c r="J211" s="180"/>
    </row>
    <row r="212" spans="1:12" ht="16.149999999999999" customHeight="1" x14ac:dyDescent="0.2">
      <c r="A212" s="10"/>
      <c r="B212" s="30" t="s">
        <v>23</v>
      </c>
      <c r="C212" s="67"/>
      <c r="D212" s="68"/>
      <c r="E212" s="69"/>
      <c r="F212" s="69"/>
      <c r="G212" s="69"/>
      <c r="H212" s="69"/>
      <c r="I212" s="69">
        <f>I211</f>
        <v>9437910.3535703588</v>
      </c>
      <c r="J212" s="183"/>
    </row>
    <row r="213" spans="1:12" ht="16.149999999999999" customHeight="1" x14ac:dyDescent="0.2">
      <c r="A213" s="12">
        <v>11.26</v>
      </c>
      <c r="B213" s="18" t="s">
        <v>317</v>
      </c>
      <c r="C213" s="60">
        <v>14</v>
      </c>
      <c r="D213" s="24" t="s">
        <v>111</v>
      </c>
      <c r="E213" s="17">
        <v>1136</v>
      </c>
      <c r="F213" s="17">
        <f>C213*E213</f>
        <v>15904</v>
      </c>
      <c r="G213" s="17">
        <v>100</v>
      </c>
      <c r="H213" s="17">
        <f t="shared" ref="H213:H219" si="42">C213*G213</f>
        <v>1400</v>
      </c>
      <c r="I213" s="17">
        <f t="shared" ref="I213:I219" si="43">F213+H213</f>
        <v>17304</v>
      </c>
      <c r="J213" s="179"/>
    </row>
    <row r="214" spans="1:12" ht="16.149999999999999" customHeight="1" x14ac:dyDescent="0.2">
      <c r="A214" s="12">
        <v>11.27</v>
      </c>
      <c r="B214" s="18" t="s">
        <v>368</v>
      </c>
      <c r="C214" s="60">
        <v>1</v>
      </c>
      <c r="D214" s="24" t="s">
        <v>111</v>
      </c>
      <c r="E214" s="17">
        <v>6450</v>
      </c>
      <c r="F214" s="17">
        <f>C214*E214</f>
        <v>6450</v>
      </c>
      <c r="G214" s="17">
        <v>400</v>
      </c>
      <c r="H214" s="17">
        <f t="shared" si="42"/>
        <v>400</v>
      </c>
      <c r="I214" s="17">
        <f t="shared" si="43"/>
        <v>6850</v>
      </c>
      <c r="J214" s="179"/>
    </row>
    <row r="215" spans="1:12" ht="16.149999999999999" customHeight="1" x14ac:dyDescent="0.2">
      <c r="A215" s="12">
        <v>11.22</v>
      </c>
      <c r="B215" s="19" t="s">
        <v>370</v>
      </c>
      <c r="C215" s="60">
        <v>4</v>
      </c>
      <c r="D215" s="24" t="s">
        <v>27</v>
      </c>
      <c r="E215" s="17">
        <v>5280</v>
      </c>
      <c r="F215" s="17">
        <f>+C215*E215</f>
        <v>21120</v>
      </c>
      <c r="G215" s="17">
        <v>710</v>
      </c>
      <c r="H215" s="61">
        <f t="shared" si="42"/>
        <v>2840</v>
      </c>
      <c r="I215" s="61">
        <f t="shared" si="43"/>
        <v>23960</v>
      </c>
      <c r="J215" s="12"/>
    </row>
    <row r="216" spans="1:12" ht="16.149999999999999" customHeight="1" x14ac:dyDescent="0.2">
      <c r="A216" s="12">
        <v>11.23</v>
      </c>
      <c r="B216" s="13" t="s">
        <v>167</v>
      </c>
      <c r="C216" s="60">
        <v>2</v>
      </c>
      <c r="D216" s="24" t="s">
        <v>27</v>
      </c>
      <c r="E216" s="143">
        <v>35500</v>
      </c>
      <c r="F216" s="17">
        <f>+C216*E216</f>
        <v>71000</v>
      </c>
      <c r="G216" s="17">
        <v>1500</v>
      </c>
      <c r="H216" s="61">
        <f t="shared" si="42"/>
        <v>3000</v>
      </c>
      <c r="I216" s="61">
        <f t="shared" si="43"/>
        <v>74000</v>
      </c>
      <c r="J216" s="12"/>
    </row>
    <row r="217" spans="1:12" ht="16.149999999999999" customHeight="1" x14ac:dyDescent="0.2">
      <c r="A217" s="15">
        <v>11.24</v>
      </c>
      <c r="B217" s="13" t="s">
        <v>112</v>
      </c>
      <c r="C217" s="60">
        <v>1</v>
      </c>
      <c r="D217" s="24" t="s">
        <v>27</v>
      </c>
      <c r="E217" s="17">
        <v>15000</v>
      </c>
      <c r="F217" s="17">
        <f>+C217*E217</f>
        <v>15000</v>
      </c>
      <c r="G217" s="17">
        <v>800</v>
      </c>
      <c r="H217" s="61">
        <f t="shared" si="42"/>
        <v>800</v>
      </c>
      <c r="I217" s="61">
        <f t="shared" si="43"/>
        <v>15800</v>
      </c>
      <c r="J217" s="12"/>
    </row>
    <row r="218" spans="1:12" ht="15" customHeight="1" x14ac:dyDescent="0.2">
      <c r="A218" s="15">
        <v>11.25</v>
      </c>
      <c r="B218" s="16" t="s">
        <v>265</v>
      </c>
      <c r="C218" s="60">
        <v>1</v>
      </c>
      <c r="D218" s="24" t="s">
        <v>27</v>
      </c>
      <c r="E218" s="62">
        <v>4500</v>
      </c>
      <c r="F218" s="17">
        <f>+C218*E218</f>
        <v>4500</v>
      </c>
      <c r="G218" s="17">
        <v>450</v>
      </c>
      <c r="H218" s="61">
        <f t="shared" si="42"/>
        <v>450</v>
      </c>
      <c r="I218" s="61">
        <f t="shared" si="43"/>
        <v>4950</v>
      </c>
      <c r="J218" s="159"/>
    </row>
    <row r="219" spans="1:12" ht="15" customHeight="1" x14ac:dyDescent="0.2">
      <c r="A219" s="12">
        <v>11.26</v>
      </c>
      <c r="B219" s="13" t="s">
        <v>264</v>
      </c>
      <c r="C219" s="60">
        <v>2</v>
      </c>
      <c r="D219" s="24" t="s">
        <v>27</v>
      </c>
      <c r="E219" s="17">
        <v>21600</v>
      </c>
      <c r="F219" s="17">
        <f>+C219*E219</f>
        <v>43200</v>
      </c>
      <c r="G219" s="17">
        <v>2850</v>
      </c>
      <c r="H219" s="61">
        <f t="shared" si="42"/>
        <v>5700</v>
      </c>
      <c r="I219" s="61">
        <f t="shared" si="43"/>
        <v>48900</v>
      </c>
      <c r="J219" s="12"/>
    </row>
    <row r="220" spans="1:12" ht="15" customHeight="1" x14ac:dyDescent="0.2">
      <c r="A220" s="12">
        <v>11.27</v>
      </c>
      <c r="B220" s="16" t="s">
        <v>280</v>
      </c>
      <c r="C220" s="60"/>
      <c r="D220" s="24"/>
      <c r="E220" s="63"/>
      <c r="F220" s="62"/>
      <c r="G220" s="63"/>
      <c r="H220" s="62"/>
      <c r="I220" s="62"/>
      <c r="J220" s="159"/>
    </row>
    <row r="221" spans="1:12" ht="16.149999999999999" customHeight="1" x14ac:dyDescent="0.2">
      <c r="A221" s="12">
        <v>11.28</v>
      </c>
      <c r="B221" s="16" t="s">
        <v>105</v>
      </c>
      <c r="C221" s="24">
        <v>41.18</v>
      </c>
      <c r="D221" s="24" t="s">
        <v>16</v>
      </c>
      <c r="E221" s="62"/>
      <c r="F221" s="62" t="s">
        <v>0</v>
      </c>
      <c r="G221" s="17">
        <v>142</v>
      </c>
      <c r="H221" s="17">
        <f>+C221*G221</f>
        <v>5847.56</v>
      </c>
      <c r="I221" s="17">
        <f>H221</f>
        <v>5847.56</v>
      </c>
      <c r="J221" s="159"/>
      <c r="L221" s="83"/>
    </row>
    <row r="222" spans="1:12" ht="16.149999999999999" customHeight="1" x14ac:dyDescent="0.2">
      <c r="A222" s="15">
        <v>11.29</v>
      </c>
      <c r="B222" s="16" t="s">
        <v>281</v>
      </c>
      <c r="C222" s="60">
        <f>9*2</f>
        <v>18</v>
      </c>
      <c r="D222" s="24" t="s">
        <v>43</v>
      </c>
      <c r="E222" s="17">
        <v>383.5</v>
      </c>
      <c r="F222" s="17">
        <f t="shared" ref="F222:F227" si="44">+C222*E222</f>
        <v>6903</v>
      </c>
      <c r="G222" s="17">
        <v>176</v>
      </c>
      <c r="H222" s="17">
        <f>+C222*G222</f>
        <v>3168</v>
      </c>
      <c r="I222" s="17">
        <f>+F222+H222</f>
        <v>10071</v>
      </c>
      <c r="J222" s="159"/>
    </row>
    <row r="223" spans="1:12" ht="16.149999999999999" customHeight="1" x14ac:dyDescent="0.2">
      <c r="A223" s="15">
        <v>11.3</v>
      </c>
      <c r="B223" s="16" t="s">
        <v>106</v>
      </c>
      <c r="C223" s="24">
        <v>2.5299999999999998</v>
      </c>
      <c r="D223" s="24" t="s">
        <v>16</v>
      </c>
      <c r="E223" s="17">
        <f>E58</f>
        <v>2032.72</v>
      </c>
      <c r="F223" s="17">
        <f t="shared" si="44"/>
        <v>5142.7815999999993</v>
      </c>
      <c r="G223" s="17">
        <v>519</v>
      </c>
      <c r="H223" s="17">
        <f>+C223*G223</f>
        <v>1313.07</v>
      </c>
      <c r="I223" s="17">
        <f>+F223+H223</f>
        <v>6455.8515999999991</v>
      </c>
      <c r="J223" s="164" t="s">
        <v>110</v>
      </c>
      <c r="L223" s="83"/>
    </row>
    <row r="224" spans="1:12" ht="16.149999999999999" customHeight="1" x14ac:dyDescent="0.2">
      <c r="A224" s="12">
        <v>11.31</v>
      </c>
      <c r="B224" s="19" t="s">
        <v>282</v>
      </c>
      <c r="C224" s="24">
        <v>26.11</v>
      </c>
      <c r="D224" s="24" t="s">
        <v>21</v>
      </c>
      <c r="E224" s="17">
        <v>21.15</v>
      </c>
      <c r="F224" s="17">
        <f t="shared" si="44"/>
        <v>552.22649999999999</v>
      </c>
      <c r="G224" s="17">
        <v>4.4000000000000004</v>
      </c>
      <c r="H224" s="17">
        <f>+C224*G224</f>
        <v>114.884</v>
      </c>
      <c r="I224" s="17">
        <f>+F224+H224</f>
        <v>667.1105</v>
      </c>
      <c r="J224" s="179"/>
    </row>
    <row r="225" spans="1:14" ht="16.149999999999999" customHeight="1" x14ac:dyDescent="0.2">
      <c r="A225" s="12">
        <v>11.32</v>
      </c>
      <c r="B225" s="19" t="s">
        <v>107</v>
      </c>
      <c r="C225" s="37">
        <v>102.51</v>
      </c>
      <c r="D225" s="24" t="s">
        <v>21</v>
      </c>
      <c r="E225" s="17">
        <v>20.13</v>
      </c>
      <c r="F225" s="17">
        <f t="shared" si="44"/>
        <v>2063.5263</v>
      </c>
      <c r="G225" s="17">
        <v>4.4000000000000004</v>
      </c>
      <c r="H225" s="17">
        <f>+C225*G225</f>
        <v>451.04400000000004</v>
      </c>
      <c r="I225" s="17">
        <f>+F225+H225</f>
        <v>2514.5702999999999</v>
      </c>
      <c r="J225" s="179"/>
      <c r="L225" s="83"/>
      <c r="N225" s="83"/>
    </row>
    <row r="226" spans="1:14" ht="15" customHeight="1" x14ac:dyDescent="0.2">
      <c r="A226" s="12">
        <v>11.33</v>
      </c>
      <c r="B226" s="155" t="s">
        <v>289</v>
      </c>
      <c r="C226" s="60">
        <v>1</v>
      </c>
      <c r="D226" s="24" t="s">
        <v>27</v>
      </c>
      <c r="E226" s="143">
        <v>37600</v>
      </c>
      <c r="F226" s="17">
        <f t="shared" si="44"/>
        <v>37600</v>
      </c>
      <c r="G226" s="17">
        <v>5640</v>
      </c>
      <c r="H226" s="61">
        <f>C226*G226</f>
        <v>5640</v>
      </c>
      <c r="I226" s="61">
        <f>F226+H226</f>
        <v>43240</v>
      </c>
      <c r="J226" s="12"/>
    </row>
    <row r="227" spans="1:14" ht="15" customHeight="1" x14ac:dyDescent="0.2">
      <c r="A227" s="15">
        <v>11.34</v>
      </c>
      <c r="B227" s="13" t="s">
        <v>283</v>
      </c>
      <c r="C227" s="60">
        <v>2</v>
      </c>
      <c r="D227" s="24" t="s">
        <v>27</v>
      </c>
      <c r="E227" s="17">
        <v>6000</v>
      </c>
      <c r="F227" s="17">
        <f t="shared" si="44"/>
        <v>12000</v>
      </c>
      <c r="G227" s="17">
        <v>250</v>
      </c>
      <c r="H227" s="61">
        <f>C227*G227</f>
        <v>500</v>
      </c>
      <c r="I227" s="61">
        <f>F227+H227</f>
        <v>12500</v>
      </c>
      <c r="J227" s="12"/>
    </row>
    <row r="228" spans="1:14" ht="16.149999999999999" customHeight="1" x14ac:dyDescent="0.2">
      <c r="A228" s="15">
        <v>11.35</v>
      </c>
      <c r="B228" s="40" t="s">
        <v>376</v>
      </c>
      <c r="C228" s="38">
        <v>66.14</v>
      </c>
      <c r="D228" s="39" t="s">
        <v>26</v>
      </c>
      <c r="E228" s="17">
        <v>1460</v>
      </c>
      <c r="F228" s="17">
        <f>C228*E228</f>
        <v>96564.4</v>
      </c>
      <c r="G228" s="17">
        <v>0</v>
      </c>
      <c r="H228" s="17">
        <f t="shared" ref="H228:H229" si="45">C228*G228</f>
        <v>0</v>
      </c>
      <c r="I228" s="17">
        <f t="shared" ref="I228:I229" si="46">F228+H228</f>
        <v>96564.4</v>
      </c>
      <c r="J228" s="184"/>
      <c r="K228" s="84">
        <f>SUM(I213:I229)</f>
        <v>388124.49239999999</v>
      </c>
      <c r="L228" s="83"/>
      <c r="M228" s="83"/>
    </row>
    <row r="229" spans="1:14" ht="16.149999999999999" customHeight="1" x14ac:dyDescent="0.2">
      <c r="A229" s="12">
        <v>11.36</v>
      </c>
      <c r="B229" s="40" t="s">
        <v>287</v>
      </c>
      <c r="C229" s="38">
        <v>10</v>
      </c>
      <c r="D229" s="39" t="s">
        <v>286</v>
      </c>
      <c r="E229" s="17">
        <v>1500</v>
      </c>
      <c r="F229" s="17">
        <f>C229*E229</f>
        <v>15000</v>
      </c>
      <c r="G229" s="17">
        <v>350</v>
      </c>
      <c r="H229" s="17">
        <f t="shared" si="45"/>
        <v>3500</v>
      </c>
      <c r="I229" s="17">
        <f t="shared" si="46"/>
        <v>18500</v>
      </c>
      <c r="J229" s="184"/>
      <c r="K229" s="187">
        <f>K210+K228</f>
        <v>705685.174</v>
      </c>
      <c r="L229" s="83"/>
    </row>
    <row r="230" spans="1:14" ht="16.149999999999999" customHeight="1" x14ac:dyDescent="0.2">
      <c r="A230" s="12"/>
      <c r="B230" s="40"/>
      <c r="C230" s="38"/>
      <c r="D230" s="39"/>
      <c r="E230" s="17"/>
      <c r="F230" s="17"/>
      <c r="G230" s="17"/>
      <c r="H230" s="17"/>
      <c r="I230" s="17"/>
      <c r="J230" s="184"/>
      <c r="L230" s="83"/>
    </row>
    <row r="231" spans="1:14" ht="16.149999999999999" customHeight="1" x14ac:dyDescent="0.2">
      <c r="A231" s="80">
        <v>12</v>
      </c>
      <c r="B231" s="165" t="s">
        <v>67</v>
      </c>
      <c r="C231" s="88"/>
      <c r="D231" s="88"/>
      <c r="E231" s="89"/>
      <c r="F231" s="89"/>
      <c r="G231" s="89"/>
      <c r="H231" s="89"/>
      <c r="I231" s="89"/>
      <c r="J231" s="159"/>
    </row>
    <row r="232" spans="1:14" ht="16.149999999999999" customHeight="1" x14ac:dyDescent="0.2">
      <c r="A232" s="12"/>
      <c r="B232" s="99" t="s">
        <v>146</v>
      </c>
      <c r="C232" s="24"/>
      <c r="D232" s="24" t="s">
        <v>0</v>
      </c>
      <c r="E232" s="17"/>
      <c r="F232" s="17"/>
      <c r="G232" s="17"/>
      <c r="H232" s="17"/>
      <c r="I232" s="17" t="s">
        <v>0</v>
      </c>
      <c r="J232" s="12"/>
    </row>
    <row r="233" spans="1:14" ht="16.149999999999999" customHeight="1" x14ac:dyDescent="0.2">
      <c r="A233" s="12">
        <v>12.1</v>
      </c>
      <c r="B233" s="18" t="s">
        <v>147</v>
      </c>
      <c r="C233" s="60">
        <v>1</v>
      </c>
      <c r="D233" s="24" t="s">
        <v>31</v>
      </c>
      <c r="E233" s="17">
        <v>45000</v>
      </c>
      <c r="F233" s="17">
        <f>+C233*E233</f>
        <v>45000</v>
      </c>
      <c r="G233" s="17">
        <v>5000</v>
      </c>
      <c r="H233" s="17">
        <f>+C233*G233</f>
        <v>5000</v>
      </c>
      <c r="I233" s="17">
        <f>+F233+H233</f>
        <v>50000</v>
      </c>
      <c r="J233" s="159"/>
      <c r="L233" s="84"/>
    </row>
    <row r="234" spans="1:14" ht="16.5" customHeight="1" x14ac:dyDescent="0.2">
      <c r="A234" s="12">
        <v>12.2</v>
      </c>
      <c r="B234" s="115" t="s">
        <v>205</v>
      </c>
      <c r="C234" s="60">
        <v>1</v>
      </c>
      <c r="D234" s="24" t="s">
        <v>31</v>
      </c>
      <c r="E234" s="17">
        <v>16000</v>
      </c>
      <c r="F234" s="17">
        <f>C234*E234</f>
        <v>16000</v>
      </c>
      <c r="G234" s="17">
        <v>500</v>
      </c>
      <c r="H234" s="17">
        <f>C234*G234</f>
        <v>500</v>
      </c>
      <c r="I234" s="17">
        <f>H234+F234</f>
        <v>16500</v>
      </c>
      <c r="J234" s="159"/>
      <c r="L234" s="84"/>
    </row>
    <row r="235" spans="1:14" ht="16.5" customHeight="1" x14ac:dyDescent="0.2">
      <c r="A235" s="12">
        <v>12.3</v>
      </c>
      <c r="B235" s="41" t="s">
        <v>266</v>
      </c>
      <c r="C235" s="60">
        <v>15</v>
      </c>
      <c r="D235" s="24" t="s">
        <v>31</v>
      </c>
      <c r="E235" s="17">
        <v>1800</v>
      </c>
      <c r="F235" s="17">
        <f>+C235*E235</f>
        <v>27000</v>
      </c>
      <c r="G235" s="17">
        <v>110</v>
      </c>
      <c r="H235" s="17">
        <f>+C235*G235</f>
        <v>1650</v>
      </c>
      <c r="I235" s="17">
        <f>+F235+H235</f>
        <v>28650</v>
      </c>
      <c r="J235" s="159"/>
      <c r="L235" s="84"/>
    </row>
    <row r="236" spans="1:14" ht="16.5" customHeight="1" x14ac:dyDescent="0.2">
      <c r="A236" s="12">
        <v>12.4</v>
      </c>
      <c r="B236" s="41" t="s">
        <v>377</v>
      </c>
      <c r="C236" s="60">
        <v>2</v>
      </c>
      <c r="D236" s="24" t="s">
        <v>31</v>
      </c>
      <c r="E236" s="17">
        <v>3200</v>
      </c>
      <c r="F236" s="17">
        <f>+C236*E236</f>
        <v>6400</v>
      </c>
      <c r="G236" s="17">
        <v>110</v>
      </c>
      <c r="H236" s="17">
        <v>900</v>
      </c>
      <c r="I236" s="17">
        <f>+F236+H236</f>
        <v>7300</v>
      </c>
      <c r="J236" s="159"/>
      <c r="L236" s="84"/>
    </row>
    <row r="237" spans="1:14" ht="16.149999999999999" customHeight="1" x14ac:dyDescent="0.2">
      <c r="A237" s="12">
        <v>12.5</v>
      </c>
      <c r="B237" s="42" t="s">
        <v>135</v>
      </c>
      <c r="C237" s="60">
        <v>1</v>
      </c>
      <c r="D237" s="24" t="s">
        <v>31</v>
      </c>
      <c r="E237" s="17">
        <v>4500</v>
      </c>
      <c r="F237" s="17">
        <f>+C237*E237</f>
        <v>4500</v>
      </c>
      <c r="G237" s="17">
        <f>(E237*0.2)+4</f>
        <v>904</v>
      </c>
      <c r="H237" s="17">
        <f>+C237*G237</f>
        <v>904</v>
      </c>
      <c r="I237" s="17">
        <f>+F237+H237</f>
        <v>5404</v>
      </c>
      <c r="J237" s="159"/>
      <c r="L237" s="84"/>
    </row>
    <row r="238" spans="1:14" ht="16.149999999999999" customHeight="1" x14ac:dyDescent="0.2">
      <c r="A238" s="12"/>
      <c r="B238" s="99" t="s">
        <v>148</v>
      </c>
      <c r="C238" s="60"/>
      <c r="D238" s="24"/>
      <c r="E238" s="17"/>
      <c r="F238" s="17"/>
      <c r="G238" s="17"/>
      <c r="H238" s="17"/>
      <c r="I238" s="17"/>
      <c r="J238" s="159"/>
    </row>
    <row r="239" spans="1:14" ht="16.149999999999999" customHeight="1" x14ac:dyDescent="0.2">
      <c r="A239" s="12">
        <v>12.6</v>
      </c>
      <c r="B239" s="18" t="s">
        <v>194</v>
      </c>
      <c r="C239" s="60">
        <v>1</v>
      </c>
      <c r="D239" s="24" t="s">
        <v>31</v>
      </c>
      <c r="E239" s="17">
        <v>4500</v>
      </c>
      <c r="F239" s="17">
        <f>+C239*E239</f>
        <v>4500</v>
      </c>
      <c r="G239" s="17">
        <v>1500</v>
      </c>
      <c r="H239" s="17">
        <f>+C239*G239</f>
        <v>1500</v>
      </c>
      <c r="I239" s="17">
        <f>+F239+H239</f>
        <v>6000</v>
      </c>
      <c r="J239" s="159"/>
    </row>
    <row r="240" spans="1:14" ht="16.149999999999999" customHeight="1" x14ac:dyDescent="0.2">
      <c r="A240" s="12">
        <v>12.7</v>
      </c>
      <c r="B240" s="18" t="s">
        <v>149</v>
      </c>
      <c r="C240" s="60">
        <v>16</v>
      </c>
      <c r="D240" s="24" t="s">
        <v>31</v>
      </c>
      <c r="E240" s="17">
        <v>900</v>
      </c>
      <c r="F240" s="17">
        <f>+C240*E240</f>
        <v>14400</v>
      </c>
      <c r="G240" s="17">
        <v>500</v>
      </c>
      <c r="H240" s="17">
        <f>+C240*G240</f>
        <v>8000</v>
      </c>
      <c r="I240" s="17">
        <f>+F240+H240</f>
        <v>22400</v>
      </c>
      <c r="J240" s="159"/>
      <c r="K240" s="84">
        <f>SUM(I233:I240)</f>
        <v>136254</v>
      </c>
    </row>
    <row r="241" spans="1:10" ht="16.149999999999999" customHeight="1" x14ac:dyDescent="0.2">
      <c r="A241" s="50"/>
      <c r="B241" s="34" t="s">
        <v>22</v>
      </c>
      <c r="C241" s="64"/>
      <c r="D241" s="65"/>
      <c r="E241" s="66"/>
      <c r="F241" s="66"/>
      <c r="G241" s="66"/>
      <c r="H241" s="66"/>
      <c r="I241" s="66">
        <f>SUM(I212:I240)</f>
        <v>9962288.8459703606</v>
      </c>
      <c r="J241" s="180"/>
    </row>
    <row r="242" spans="1:10" ht="16.149999999999999" customHeight="1" x14ac:dyDescent="0.2">
      <c r="A242" s="10"/>
      <c r="B242" s="30" t="s">
        <v>23</v>
      </c>
      <c r="C242" s="67"/>
      <c r="D242" s="68"/>
      <c r="E242" s="69"/>
      <c r="F242" s="69"/>
      <c r="G242" s="69"/>
      <c r="H242" s="69"/>
      <c r="I242" s="69">
        <f>I241</f>
        <v>9962288.8459703606</v>
      </c>
      <c r="J242" s="183"/>
    </row>
    <row r="243" spans="1:10" ht="16.149999999999999" customHeight="1" x14ac:dyDescent="0.2">
      <c r="A243" s="12">
        <v>12.8</v>
      </c>
      <c r="B243" s="18" t="s">
        <v>150</v>
      </c>
      <c r="C243" s="60">
        <v>1</v>
      </c>
      <c r="D243" s="24" t="s">
        <v>31</v>
      </c>
      <c r="E243" s="17">
        <v>6300</v>
      </c>
      <c r="F243" s="17">
        <f>+C243*E243</f>
        <v>6300</v>
      </c>
      <c r="G243" s="17">
        <v>500</v>
      </c>
      <c r="H243" s="17">
        <f>+C243*G243</f>
        <v>500</v>
      </c>
      <c r="I243" s="17">
        <f>+F243+H243</f>
        <v>6800</v>
      </c>
      <c r="J243" s="159"/>
    </row>
    <row r="244" spans="1:10" ht="16.149999999999999" customHeight="1" x14ac:dyDescent="0.2">
      <c r="A244" s="12"/>
      <c r="B244" s="99" t="s">
        <v>378</v>
      </c>
      <c r="C244" s="24"/>
      <c r="D244" s="24"/>
      <c r="E244" s="17"/>
      <c r="F244" s="17"/>
      <c r="G244" s="17"/>
      <c r="H244" s="17"/>
      <c r="I244" s="17"/>
      <c r="J244" s="159"/>
    </row>
    <row r="245" spans="1:10" ht="16.149999999999999" customHeight="1" x14ac:dyDescent="0.2">
      <c r="A245" s="174">
        <v>12.9</v>
      </c>
      <c r="B245" s="41" t="s">
        <v>379</v>
      </c>
      <c r="C245" s="60">
        <v>1</v>
      </c>
      <c r="D245" s="24" t="s">
        <v>31</v>
      </c>
      <c r="E245" s="17">
        <v>6760</v>
      </c>
      <c r="F245" s="17">
        <f>+C245*E245</f>
        <v>6760</v>
      </c>
      <c r="G245" s="17">
        <v>800</v>
      </c>
      <c r="H245" s="17">
        <v>1200</v>
      </c>
      <c r="I245" s="17">
        <f>+F245+H245</f>
        <v>7960</v>
      </c>
      <c r="J245" s="159"/>
    </row>
    <row r="246" spans="1:10" ht="16.149999999999999" customHeight="1" x14ac:dyDescent="0.2">
      <c r="A246" s="15">
        <v>12.1</v>
      </c>
      <c r="B246" s="41" t="s">
        <v>269</v>
      </c>
      <c r="C246" s="60">
        <v>1</v>
      </c>
      <c r="D246" s="24" t="s">
        <v>31</v>
      </c>
      <c r="E246" s="17">
        <v>4500</v>
      </c>
      <c r="F246" s="17">
        <f>+C246*E246</f>
        <v>4500</v>
      </c>
      <c r="G246" s="17">
        <v>110</v>
      </c>
      <c r="H246" s="17">
        <f>+C246*G246</f>
        <v>110</v>
      </c>
      <c r="I246" s="17">
        <f>+F246+H246</f>
        <v>4610</v>
      </c>
      <c r="J246" s="159"/>
    </row>
    <row r="247" spans="1:10" ht="16.149999999999999" customHeight="1" x14ac:dyDescent="0.2">
      <c r="A247" s="12">
        <v>12.11</v>
      </c>
      <c r="B247" s="41" t="s">
        <v>268</v>
      </c>
      <c r="C247" s="60">
        <v>7</v>
      </c>
      <c r="D247" s="24" t="s">
        <v>31</v>
      </c>
      <c r="E247" s="17">
        <v>400</v>
      </c>
      <c r="F247" s="17">
        <f>+C247*E247</f>
        <v>2800</v>
      </c>
      <c r="G247" s="17">
        <v>110</v>
      </c>
      <c r="H247" s="17">
        <v>100</v>
      </c>
      <c r="I247" s="17">
        <f>+F247+H247</f>
        <v>2900</v>
      </c>
      <c r="J247" s="159"/>
    </row>
    <row r="248" spans="1:10" ht="16.149999999999999" customHeight="1" x14ac:dyDescent="0.2">
      <c r="A248" s="15">
        <v>12.12</v>
      </c>
      <c r="B248" s="41" t="s">
        <v>270</v>
      </c>
      <c r="C248" s="60">
        <v>1</v>
      </c>
      <c r="D248" s="24" t="s">
        <v>31</v>
      </c>
      <c r="E248" s="17">
        <v>2140</v>
      </c>
      <c r="F248" s="17">
        <f>+C248*E248</f>
        <v>2140</v>
      </c>
      <c r="G248" s="17">
        <v>110</v>
      </c>
      <c r="H248" s="17">
        <f>+C248*G248</f>
        <v>110</v>
      </c>
      <c r="I248" s="17">
        <f>+F248+H248</f>
        <v>2250</v>
      </c>
      <c r="J248" s="159"/>
    </row>
    <row r="249" spans="1:10" ht="15.75" customHeight="1" x14ac:dyDescent="0.2">
      <c r="A249" s="12">
        <v>12.13</v>
      </c>
      <c r="B249" s="41" t="s">
        <v>151</v>
      </c>
      <c r="C249" s="60">
        <v>2</v>
      </c>
      <c r="D249" s="24" t="s">
        <v>31</v>
      </c>
      <c r="E249" s="17">
        <v>1500</v>
      </c>
      <c r="F249" s="17">
        <f t="shared" ref="F249" si="47">+C249*E249</f>
        <v>3000</v>
      </c>
      <c r="G249" s="17">
        <v>110</v>
      </c>
      <c r="H249" s="17">
        <f t="shared" ref="H249" si="48">+C249*G249</f>
        <v>220</v>
      </c>
      <c r="I249" s="17">
        <f t="shared" ref="I249" si="49">+F249+H249</f>
        <v>3220</v>
      </c>
      <c r="J249" s="159"/>
    </row>
    <row r="250" spans="1:10" ht="16.149999999999999" customHeight="1" x14ac:dyDescent="0.2">
      <c r="A250" s="12"/>
      <c r="B250" s="99" t="s">
        <v>271</v>
      </c>
      <c r="C250" s="24"/>
      <c r="D250" s="24"/>
      <c r="E250" s="17"/>
      <c r="F250" s="17"/>
      <c r="G250" s="17"/>
      <c r="H250" s="17"/>
      <c r="I250" s="17"/>
      <c r="J250" s="159"/>
    </row>
    <row r="251" spans="1:10" ht="16.149999999999999" customHeight="1" x14ac:dyDescent="0.2">
      <c r="A251" s="15">
        <v>12.14</v>
      </c>
      <c r="B251" s="41" t="s">
        <v>272</v>
      </c>
      <c r="C251" s="60">
        <v>14</v>
      </c>
      <c r="D251" s="24" t="s">
        <v>31</v>
      </c>
      <c r="E251" s="17">
        <v>4912</v>
      </c>
      <c r="F251" s="17">
        <f t="shared" ref="F251:F256" si="50">+C251*E251</f>
        <v>68768</v>
      </c>
      <c r="G251" s="17">
        <v>800</v>
      </c>
      <c r="H251" s="17">
        <f t="shared" ref="H251:H256" si="51">+C251*G251</f>
        <v>11200</v>
      </c>
      <c r="I251" s="17">
        <f t="shared" ref="I251:I256" si="52">+F251+H251</f>
        <v>79968</v>
      </c>
      <c r="J251" s="159"/>
    </row>
    <row r="252" spans="1:10" ht="16.149999999999999" customHeight="1" x14ac:dyDescent="0.2">
      <c r="A252" s="15">
        <v>12.15</v>
      </c>
      <c r="B252" s="41" t="s">
        <v>267</v>
      </c>
      <c r="C252" s="60">
        <f>1*14</f>
        <v>14</v>
      </c>
      <c r="D252" s="24" t="s">
        <v>31</v>
      </c>
      <c r="E252" s="17">
        <v>1200</v>
      </c>
      <c r="F252" s="17">
        <f t="shared" si="50"/>
        <v>16800</v>
      </c>
      <c r="G252" s="17">
        <v>110</v>
      </c>
      <c r="H252" s="17">
        <f t="shared" si="51"/>
        <v>1540</v>
      </c>
      <c r="I252" s="17">
        <f t="shared" si="52"/>
        <v>18340</v>
      </c>
      <c r="J252" s="159"/>
    </row>
    <row r="253" spans="1:10" ht="16.149999999999999" customHeight="1" x14ac:dyDescent="0.2">
      <c r="A253" s="15">
        <v>12.16</v>
      </c>
      <c r="B253" s="41" t="s">
        <v>268</v>
      </c>
      <c r="C253" s="60">
        <f>1*14</f>
        <v>14</v>
      </c>
      <c r="D253" s="24" t="s">
        <v>31</v>
      </c>
      <c r="E253" s="89">
        <v>400</v>
      </c>
      <c r="F253" s="17">
        <f t="shared" si="50"/>
        <v>5600</v>
      </c>
      <c r="G253" s="17">
        <v>110</v>
      </c>
      <c r="H253" s="17">
        <f t="shared" si="51"/>
        <v>1540</v>
      </c>
      <c r="I253" s="17">
        <f t="shared" si="52"/>
        <v>7140</v>
      </c>
      <c r="J253" s="159"/>
    </row>
    <row r="254" spans="1:10" ht="16.149999999999999" customHeight="1" x14ac:dyDescent="0.2">
      <c r="A254" s="15">
        <v>12.17</v>
      </c>
      <c r="B254" s="41" t="s">
        <v>273</v>
      </c>
      <c r="C254" s="60">
        <f>1*14</f>
        <v>14</v>
      </c>
      <c r="D254" s="24" t="s">
        <v>31</v>
      </c>
      <c r="E254" s="17">
        <v>400</v>
      </c>
      <c r="F254" s="17">
        <f t="shared" si="50"/>
        <v>5600</v>
      </c>
      <c r="G254" s="17">
        <v>110</v>
      </c>
      <c r="H254" s="17">
        <f t="shared" si="51"/>
        <v>1540</v>
      </c>
      <c r="I254" s="17">
        <f t="shared" si="52"/>
        <v>7140</v>
      </c>
      <c r="J254" s="159"/>
    </row>
    <row r="255" spans="1:10" ht="16.149999999999999" customHeight="1" x14ac:dyDescent="0.2">
      <c r="A255" s="15">
        <v>12.18</v>
      </c>
      <c r="B255" s="41" t="s">
        <v>274</v>
      </c>
      <c r="C255" s="60">
        <f>1*14</f>
        <v>14</v>
      </c>
      <c r="D255" s="24" t="s">
        <v>31</v>
      </c>
      <c r="E255" s="17">
        <v>1200</v>
      </c>
      <c r="F255" s="17">
        <f t="shared" si="50"/>
        <v>16800</v>
      </c>
      <c r="G255" s="17">
        <v>110</v>
      </c>
      <c r="H255" s="17">
        <f t="shared" si="51"/>
        <v>1540</v>
      </c>
      <c r="I255" s="17">
        <f t="shared" si="52"/>
        <v>18340</v>
      </c>
      <c r="J255" s="159"/>
    </row>
    <row r="256" spans="1:10" ht="16.149999999999999" customHeight="1" x14ac:dyDescent="0.2">
      <c r="A256" s="15">
        <v>12.19</v>
      </c>
      <c r="B256" s="41" t="s">
        <v>275</v>
      </c>
      <c r="C256" s="60">
        <f>1*14</f>
        <v>14</v>
      </c>
      <c r="D256" s="24" t="s">
        <v>31</v>
      </c>
      <c r="E256" s="17">
        <v>1350</v>
      </c>
      <c r="F256" s="17">
        <f t="shared" si="50"/>
        <v>18900</v>
      </c>
      <c r="G256" s="17">
        <v>110</v>
      </c>
      <c r="H256" s="17">
        <f t="shared" si="51"/>
        <v>1540</v>
      </c>
      <c r="I256" s="17">
        <f t="shared" si="52"/>
        <v>20440</v>
      </c>
      <c r="J256" s="159"/>
    </row>
    <row r="257" spans="1:12" ht="16.149999999999999" customHeight="1" x14ac:dyDescent="0.2">
      <c r="A257" s="15"/>
      <c r="B257" s="13" t="s">
        <v>91</v>
      </c>
      <c r="C257" s="60"/>
      <c r="D257" s="24"/>
      <c r="E257" s="17"/>
      <c r="F257" s="17"/>
      <c r="G257" s="17"/>
      <c r="H257" s="17"/>
      <c r="I257" s="17"/>
      <c r="J257" s="178"/>
    </row>
    <row r="258" spans="1:12" ht="18" customHeight="1" x14ac:dyDescent="0.2">
      <c r="A258" s="15">
        <v>12.2</v>
      </c>
      <c r="B258" s="16" t="s">
        <v>166</v>
      </c>
      <c r="C258" s="100">
        <v>2</v>
      </c>
      <c r="D258" s="24" t="s">
        <v>31</v>
      </c>
      <c r="E258" s="89">
        <v>395</v>
      </c>
      <c r="F258" s="89">
        <f>C258*E258</f>
        <v>790</v>
      </c>
      <c r="G258" s="89">
        <v>180</v>
      </c>
      <c r="H258" s="89">
        <f>C258*G258</f>
        <v>360</v>
      </c>
      <c r="I258" s="89">
        <f>F258+H258</f>
        <v>1150</v>
      </c>
      <c r="J258" s="178"/>
    </row>
    <row r="259" spans="1:12" ht="16.149999999999999" customHeight="1" x14ac:dyDescent="0.2">
      <c r="A259" s="12">
        <v>12.21</v>
      </c>
      <c r="B259" s="2" t="s">
        <v>191</v>
      </c>
      <c r="C259" s="26">
        <f>((2+6+3.15+1.35)*2*1.1)+2.5</f>
        <v>30.000000000000004</v>
      </c>
      <c r="D259" s="24" t="s">
        <v>33</v>
      </c>
      <c r="E259" s="17">
        <v>300</v>
      </c>
      <c r="F259" s="17">
        <f t="shared" ref="F259:F265" si="53">+C259*E259</f>
        <v>9000.0000000000018</v>
      </c>
      <c r="G259" s="17">
        <v>60</v>
      </c>
      <c r="H259" s="17">
        <f t="shared" ref="H259:H268" si="54">+C259*G259</f>
        <v>1800.0000000000002</v>
      </c>
      <c r="I259" s="17">
        <f t="shared" ref="I259:I268" si="55">+F259+H259</f>
        <v>10800.000000000002</v>
      </c>
      <c r="J259" s="178"/>
    </row>
    <row r="260" spans="1:12" ht="16.149999999999999" customHeight="1" x14ac:dyDescent="0.2">
      <c r="A260" s="15">
        <v>12.22</v>
      </c>
      <c r="B260" s="2" t="s">
        <v>190</v>
      </c>
      <c r="C260" s="26">
        <v>6</v>
      </c>
      <c r="D260" s="24" t="s">
        <v>33</v>
      </c>
      <c r="E260" s="17">
        <f>767.2/3</f>
        <v>255.73333333333335</v>
      </c>
      <c r="F260" s="17">
        <f t="shared" si="53"/>
        <v>1534.4</v>
      </c>
      <c r="G260" s="17">
        <v>48</v>
      </c>
      <c r="H260" s="17">
        <f>+C260*G260</f>
        <v>288</v>
      </c>
      <c r="I260" s="17">
        <f>+F260+H260</f>
        <v>1822.4</v>
      </c>
      <c r="J260" s="178"/>
    </row>
    <row r="261" spans="1:12" ht="16.149999999999999" customHeight="1" x14ac:dyDescent="0.2">
      <c r="A261" s="12">
        <v>12.23</v>
      </c>
      <c r="B261" s="2" t="s">
        <v>187</v>
      </c>
      <c r="C261" s="26">
        <v>290</v>
      </c>
      <c r="D261" s="24" t="s">
        <v>33</v>
      </c>
      <c r="E261" s="17">
        <f>457.1/3</f>
        <v>152.36666666666667</v>
      </c>
      <c r="F261" s="17">
        <f t="shared" si="53"/>
        <v>44186.333333333336</v>
      </c>
      <c r="G261" s="17">
        <v>38</v>
      </c>
      <c r="H261" s="17">
        <f>+C261*G261</f>
        <v>11020</v>
      </c>
      <c r="I261" s="17">
        <f>+F261+H261</f>
        <v>55206.333333333336</v>
      </c>
      <c r="J261" s="178"/>
    </row>
    <row r="262" spans="1:12" ht="14.85" customHeight="1" x14ac:dyDescent="0.2">
      <c r="A262" s="15">
        <v>12.24</v>
      </c>
      <c r="B262" s="2" t="s">
        <v>188</v>
      </c>
      <c r="C262" s="24">
        <v>280</v>
      </c>
      <c r="D262" s="24" t="s">
        <v>33</v>
      </c>
      <c r="E262" s="17">
        <f>134.4/3</f>
        <v>44.800000000000004</v>
      </c>
      <c r="F262" s="17">
        <f t="shared" si="53"/>
        <v>12544.000000000002</v>
      </c>
      <c r="G262" s="17">
        <v>24</v>
      </c>
      <c r="H262" s="17">
        <f t="shared" si="54"/>
        <v>6720</v>
      </c>
      <c r="I262" s="17">
        <f t="shared" si="55"/>
        <v>19264</v>
      </c>
      <c r="J262" s="178"/>
    </row>
    <row r="263" spans="1:12" ht="14.85" customHeight="1" x14ac:dyDescent="0.2">
      <c r="A263" s="12">
        <v>12.25</v>
      </c>
      <c r="B263" s="2" t="s">
        <v>189</v>
      </c>
      <c r="C263" s="24">
        <v>1565</v>
      </c>
      <c r="D263" s="24" t="s">
        <v>33</v>
      </c>
      <c r="E263" s="17">
        <f>93.1/3</f>
        <v>31.033333333333331</v>
      </c>
      <c r="F263" s="17">
        <f t="shared" si="53"/>
        <v>48567.166666666664</v>
      </c>
      <c r="G263" s="17">
        <v>22</v>
      </c>
      <c r="H263" s="17">
        <f t="shared" si="54"/>
        <v>34430</v>
      </c>
      <c r="I263" s="17">
        <f t="shared" si="55"/>
        <v>82997.166666666657</v>
      </c>
      <c r="J263" s="178"/>
    </row>
    <row r="264" spans="1:12" ht="16.149999999999999" customHeight="1" x14ac:dyDescent="0.2">
      <c r="A264" s="15">
        <v>12.26</v>
      </c>
      <c r="B264" s="2" t="s">
        <v>277</v>
      </c>
      <c r="C264" s="26">
        <v>4</v>
      </c>
      <c r="D264" s="24" t="s">
        <v>33</v>
      </c>
      <c r="E264" s="17">
        <f>121.5/4</f>
        <v>30.375</v>
      </c>
      <c r="F264" s="17">
        <f t="shared" si="53"/>
        <v>121.5</v>
      </c>
      <c r="G264" s="17">
        <v>27</v>
      </c>
      <c r="H264" s="17">
        <f t="shared" si="54"/>
        <v>108</v>
      </c>
      <c r="I264" s="17">
        <f t="shared" si="55"/>
        <v>229.5</v>
      </c>
      <c r="J264" s="178"/>
    </row>
    <row r="265" spans="1:12" ht="16.149999999999999" customHeight="1" x14ac:dyDescent="0.2">
      <c r="A265" s="12">
        <v>12.27</v>
      </c>
      <c r="B265" s="44" t="s">
        <v>134</v>
      </c>
      <c r="C265" s="67">
        <v>1</v>
      </c>
      <c r="D265" s="24" t="s">
        <v>32</v>
      </c>
      <c r="E265" s="97">
        <f>SUM(F258:F264)*0.2</f>
        <v>23348.68</v>
      </c>
      <c r="F265" s="17">
        <f t="shared" si="53"/>
        <v>23348.68</v>
      </c>
      <c r="G265" s="17">
        <f>SUM(H258:H264)*0.2</f>
        <v>10945.2</v>
      </c>
      <c r="H265" s="17">
        <f t="shared" si="54"/>
        <v>10945.2</v>
      </c>
      <c r="I265" s="17">
        <f t="shared" si="55"/>
        <v>34293.880000000005</v>
      </c>
      <c r="J265" s="178"/>
    </row>
    <row r="266" spans="1:12" ht="14.85" customHeight="1" x14ac:dyDescent="0.2">
      <c r="A266" s="15">
        <v>12.28</v>
      </c>
      <c r="B266" s="2" t="s">
        <v>131</v>
      </c>
      <c r="C266" s="24">
        <f>3*100</f>
        <v>300</v>
      </c>
      <c r="D266" s="24" t="s">
        <v>33</v>
      </c>
      <c r="E266" s="17">
        <v>950</v>
      </c>
      <c r="F266" s="17">
        <f>+C266*E266</f>
        <v>285000</v>
      </c>
      <c r="G266" s="17">
        <v>85</v>
      </c>
      <c r="H266" s="17">
        <f t="shared" si="54"/>
        <v>25500</v>
      </c>
      <c r="I266" s="17">
        <f t="shared" si="55"/>
        <v>310500</v>
      </c>
      <c r="J266" s="12" t="s">
        <v>165</v>
      </c>
    </row>
    <row r="267" spans="1:12" ht="14.85" customHeight="1" x14ac:dyDescent="0.2">
      <c r="A267" s="12">
        <v>12.29</v>
      </c>
      <c r="B267" s="2" t="s">
        <v>132</v>
      </c>
      <c r="C267" s="24">
        <f>1*100</f>
        <v>100</v>
      </c>
      <c r="D267" s="24" t="s">
        <v>33</v>
      </c>
      <c r="E267" s="17">
        <v>732.31</v>
      </c>
      <c r="F267" s="17">
        <f>+C267*E267</f>
        <v>73231</v>
      </c>
      <c r="G267" s="17">
        <v>70</v>
      </c>
      <c r="H267" s="17">
        <f t="shared" si="54"/>
        <v>7000</v>
      </c>
      <c r="I267" s="17">
        <f t="shared" si="55"/>
        <v>80231</v>
      </c>
      <c r="J267" s="12" t="s">
        <v>165</v>
      </c>
    </row>
    <row r="268" spans="1:12" ht="14.85" customHeight="1" x14ac:dyDescent="0.2">
      <c r="A268" s="15">
        <v>12.3</v>
      </c>
      <c r="B268" s="2" t="s">
        <v>152</v>
      </c>
      <c r="C268" s="26">
        <f>((2+6+3.15+1.35+2)*4*2*1.1)+2.4</f>
        <v>130</v>
      </c>
      <c r="D268" s="24" t="s">
        <v>33</v>
      </c>
      <c r="E268" s="17">
        <v>463.32</v>
      </c>
      <c r="F268" s="17">
        <f t="shared" ref="F268" si="56">+C268*E268</f>
        <v>60231.6</v>
      </c>
      <c r="G268" s="17">
        <v>60</v>
      </c>
      <c r="H268" s="17">
        <f t="shared" si="54"/>
        <v>7800</v>
      </c>
      <c r="I268" s="17">
        <f t="shared" si="55"/>
        <v>68031.600000000006</v>
      </c>
      <c r="J268" s="12"/>
      <c r="L268" s="83"/>
    </row>
    <row r="269" spans="1:12" ht="14.85" customHeight="1" x14ac:dyDescent="0.2">
      <c r="A269" s="12">
        <v>12.31</v>
      </c>
      <c r="B269" s="2" t="s">
        <v>133</v>
      </c>
      <c r="C269" s="26">
        <v>640</v>
      </c>
      <c r="D269" s="24" t="s">
        <v>33</v>
      </c>
      <c r="E269" s="17">
        <v>97.2</v>
      </c>
      <c r="F269" s="17">
        <f t="shared" ref="F269:F276" si="57">+C269*E269</f>
        <v>62208</v>
      </c>
      <c r="G269" s="17">
        <v>25</v>
      </c>
      <c r="H269" s="17">
        <f t="shared" ref="H269:H276" si="58">+C269*G269</f>
        <v>16000</v>
      </c>
      <c r="I269" s="17">
        <f t="shared" ref="I269:I276" si="59">+F269+H269</f>
        <v>78208</v>
      </c>
      <c r="J269" s="12"/>
    </row>
    <row r="270" spans="1:12" ht="14.85" customHeight="1" x14ac:dyDescent="0.2">
      <c r="A270" s="15">
        <v>12.32</v>
      </c>
      <c r="B270" s="2" t="s">
        <v>153</v>
      </c>
      <c r="C270" s="26">
        <v>310</v>
      </c>
      <c r="D270" s="24" t="s">
        <v>33</v>
      </c>
      <c r="E270" s="17">
        <v>39.93</v>
      </c>
      <c r="F270" s="17">
        <f>+C270*E270</f>
        <v>12378.3</v>
      </c>
      <c r="G270" s="17">
        <v>16</v>
      </c>
      <c r="H270" s="17">
        <f t="shared" si="58"/>
        <v>4960</v>
      </c>
      <c r="I270" s="17">
        <f t="shared" si="59"/>
        <v>17338.3</v>
      </c>
      <c r="J270" s="12"/>
      <c r="K270" s="84">
        <f>SUM(I243:I270)</f>
        <v>939180.18</v>
      </c>
    </row>
    <row r="271" spans="1:12" ht="16.149999999999999" customHeight="1" x14ac:dyDescent="0.2">
      <c r="A271" s="50"/>
      <c r="B271" s="50" t="s">
        <v>22</v>
      </c>
      <c r="C271" s="103"/>
      <c r="D271" s="74"/>
      <c r="E271" s="75"/>
      <c r="F271" s="75"/>
      <c r="G271" s="75"/>
      <c r="H271" s="75"/>
      <c r="I271" s="75">
        <f>SUM(I242:I270)</f>
        <v>10901469.025970362</v>
      </c>
      <c r="J271" s="50"/>
    </row>
    <row r="272" spans="1:12" ht="16.149999999999999" customHeight="1" x14ac:dyDescent="0.2">
      <c r="A272" s="12"/>
      <c r="B272" s="33" t="s">
        <v>23</v>
      </c>
      <c r="C272" s="70"/>
      <c r="D272" s="71"/>
      <c r="E272" s="72"/>
      <c r="F272" s="72"/>
      <c r="G272" s="72"/>
      <c r="H272" s="72"/>
      <c r="I272" s="72">
        <f>I271</f>
        <v>10901469.025970362</v>
      </c>
      <c r="J272" s="57"/>
    </row>
    <row r="273" spans="1:12" ht="14.85" customHeight="1" x14ac:dyDescent="0.2">
      <c r="A273" s="12">
        <v>12.33</v>
      </c>
      <c r="B273" s="2" t="s">
        <v>130</v>
      </c>
      <c r="C273" s="24">
        <v>820</v>
      </c>
      <c r="D273" s="24" t="s">
        <v>33</v>
      </c>
      <c r="E273" s="17">
        <v>22.92</v>
      </c>
      <c r="F273" s="17">
        <f t="shared" si="57"/>
        <v>18794.400000000001</v>
      </c>
      <c r="G273" s="17">
        <v>12</v>
      </c>
      <c r="H273" s="17">
        <f t="shared" si="58"/>
        <v>9840</v>
      </c>
      <c r="I273" s="17">
        <f t="shared" si="59"/>
        <v>28634.400000000001</v>
      </c>
      <c r="J273" s="12"/>
    </row>
    <row r="274" spans="1:12" ht="14.85" customHeight="1" x14ac:dyDescent="0.2">
      <c r="A274" s="15">
        <v>12.34</v>
      </c>
      <c r="B274" s="2" t="s">
        <v>129</v>
      </c>
      <c r="C274" s="17">
        <v>575</v>
      </c>
      <c r="D274" s="24" t="s">
        <v>33</v>
      </c>
      <c r="E274" s="17">
        <v>13.93</v>
      </c>
      <c r="F274" s="17">
        <f t="shared" si="57"/>
        <v>8009.75</v>
      </c>
      <c r="G274" s="17">
        <v>10</v>
      </c>
      <c r="H274" s="17">
        <f t="shared" si="58"/>
        <v>5750</v>
      </c>
      <c r="I274" s="17">
        <f t="shared" si="59"/>
        <v>13759.75</v>
      </c>
      <c r="J274" s="12"/>
    </row>
    <row r="275" spans="1:12" ht="14.85" customHeight="1" x14ac:dyDescent="0.2">
      <c r="A275" s="12">
        <v>12.35</v>
      </c>
      <c r="B275" s="2" t="s">
        <v>128</v>
      </c>
      <c r="C275" s="17">
        <v>3460</v>
      </c>
      <c r="D275" s="24" t="s">
        <v>33</v>
      </c>
      <c r="E275" s="17">
        <v>9.23</v>
      </c>
      <c r="F275" s="17">
        <f t="shared" si="57"/>
        <v>31935.800000000003</v>
      </c>
      <c r="G275" s="17">
        <v>7</v>
      </c>
      <c r="H275" s="17">
        <f t="shared" si="58"/>
        <v>24220</v>
      </c>
      <c r="I275" s="17">
        <f t="shared" si="59"/>
        <v>56155.8</v>
      </c>
      <c r="J275" s="12"/>
    </row>
    <row r="276" spans="1:12" ht="14.85" customHeight="1" x14ac:dyDescent="0.2">
      <c r="A276" s="15">
        <v>12.36</v>
      </c>
      <c r="B276" s="2" t="s">
        <v>276</v>
      </c>
      <c r="C276" s="26">
        <v>15</v>
      </c>
      <c r="D276" s="24" t="s">
        <v>33</v>
      </c>
      <c r="E276" s="17">
        <v>327.7</v>
      </c>
      <c r="F276" s="17">
        <f t="shared" si="57"/>
        <v>4915.5</v>
      </c>
      <c r="G276" s="17">
        <v>45</v>
      </c>
      <c r="H276" s="17">
        <f t="shared" si="58"/>
        <v>675</v>
      </c>
      <c r="I276" s="17">
        <f t="shared" si="59"/>
        <v>5590.5</v>
      </c>
      <c r="J276" s="12"/>
      <c r="L276" s="83"/>
    </row>
    <row r="277" spans="1:12" ht="14.85" customHeight="1" x14ac:dyDescent="0.2">
      <c r="A277" s="12">
        <v>12.37</v>
      </c>
      <c r="B277" s="45" t="s">
        <v>134</v>
      </c>
      <c r="C277" s="60">
        <v>1</v>
      </c>
      <c r="D277" s="24" t="s">
        <v>32</v>
      </c>
      <c r="E277" s="17">
        <f>SUM(F266:F276)*0.05</f>
        <v>27835.217499999999</v>
      </c>
      <c r="F277" s="17">
        <f t="shared" ref="F277" si="60">+C277*E277</f>
        <v>27835.217499999999</v>
      </c>
      <c r="G277" s="17">
        <f>SUM(H266:H276)*0.05</f>
        <v>5087.25</v>
      </c>
      <c r="H277" s="17">
        <f t="shared" ref="H277" si="61">+C277*G277</f>
        <v>5087.25</v>
      </c>
      <c r="I277" s="17">
        <f t="shared" ref="I277" si="62">+F277+H277</f>
        <v>32922.467499999999</v>
      </c>
      <c r="J277" s="12"/>
    </row>
    <row r="278" spans="1:12" ht="16.149999999999999" customHeight="1" x14ac:dyDescent="0.2">
      <c r="A278" s="12"/>
      <c r="B278" s="13" t="s">
        <v>92</v>
      </c>
      <c r="C278" s="60"/>
      <c r="D278" s="24"/>
      <c r="E278" s="17"/>
      <c r="F278" s="17"/>
      <c r="G278" s="17"/>
      <c r="H278" s="17"/>
      <c r="I278" s="17"/>
      <c r="J278" s="178"/>
    </row>
    <row r="279" spans="1:12" s="168" customFormat="1" ht="14.85" customHeight="1" x14ac:dyDescent="0.2">
      <c r="A279" s="12">
        <v>12.38</v>
      </c>
      <c r="B279" s="13" t="s">
        <v>199</v>
      </c>
      <c r="C279" s="60">
        <v>59</v>
      </c>
      <c r="D279" s="24" t="s">
        <v>31</v>
      </c>
      <c r="E279" s="17">
        <v>115</v>
      </c>
      <c r="F279" s="17">
        <f>+C279*E279</f>
        <v>6785</v>
      </c>
      <c r="G279" s="17">
        <v>115</v>
      </c>
      <c r="H279" s="17">
        <f>+C279*G279</f>
        <v>6785</v>
      </c>
      <c r="I279" s="17">
        <f>+F279+H279</f>
        <v>13570</v>
      </c>
      <c r="J279" s="178"/>
      <c r="L279" s="169"/>
    </row>
    <row r="280" spans="1:12" s="168" customFormat="1" ht="14.85" customHeight="1" x14ac:dyDescent="0.2">
      <c r="A280" s="15">
        <v>12.39</v>
      </c>
      <c r="B280" s="13" t="s">
        <v>198</v>
      </c>
      <c r="C280" s="60">
        <v>48</v>
      </c>
      <c r="D280" s="24" t="s">
        <v>31</v>
      </c>
      <c r="E280" s="17">
        <v>154</v>
      </c>
      <c r="F280" s="17">
        <f>+C280*E280</f>
        <v>7392</v>
      </c>
      <c r="G280" s="17">
        <v>115</v>
      </c>
      <c r="H280" s="17">
        <f>+C280*G280</f>
        <v>5520</v>
      </c>
      <c r="I280" s="17">
        <f>+F280+H280</f>
        <v>12912</v>
      </c>
      <c r="J280" s="12"/>
      <c r="L280" s="169"/>
    </row>
    <row r="281" spans="1:12" s="168" customFormat="1" ht="14.85" customHeight="1" x14ac:dyDescent="0.2">
      <c r="A281" s="15">
        <v>12.4</v>
      </c>
      <c r="B281" s="13" t="s">
        <v>155</v>
      </c>
      <c r="C281" s="73">
        <v>42</v>
      </c>
      <c r="D281" s="24" t="s">
        <v>31</v>
      </c>
      <c r="E281" s="17">
        <f>31.16+15+20</f>
        <v>66.16</v>
      </c>
      <c r="F281" s="61">
        <f t="shared" ref="F281:F288" si="63">C281*E281</f>
        <v>2778.72</v>
      </c>
      <c r="G281" s="17">
        <v>80</v>
      </c>
      <c r="H281" s="61">
        <f t="shared" ref="H281:H287" si="64">C281*G281</f>
        <v>3360</v>
      </c>
      <c r="I281" s="61">
        <f t="shared" ref="I281:I287" si="65">F281+H281</f>
        <v>6138.7199999999993</v>
      </c>
      <c r="J281" s="173"/>
    </row>
    <row r="282" spans="1:12" s="168" customFormat="1" ht="14.85" customHeight="1" x14ac:dyDescent="0.2">
      <c r="A282" s="15">
        <v>12.41</v>
      </c>
      <c r="B282" s="13" t="s">
        <v>156</v>
      </c>
      <c r="C282" s="46">
        <v>14</v>
      </c>
      <c r="D282" s="24" t="s">
        <v>31</v>
      </c>
      <c r="E282" s="61">
        <f>31.16+31.16+20+15</f>
        <v>97.32</v>
      </c>
      <c r="F282" s="61">
        <f t="shared" si="63"/>
        <v>1362.48</v>
      </c>
      <c r="G282" s="61">
        <v>90</v>
      </c>
      <c r="H282" s="61">
        <f t="shared" si="64"/>
        <v>1260</v>
      </c>
      <c r="I282" s="61">
        <f t="shared" si="65"/>
        <v>2622.48</v>
      </c>
      <c r="J282" s="173"/>
    </row>
    <row r="283" spans="1:12" s="168" customFormat="1" ht="14.85" customHeight="1" x14ac:dyDescent="0.2">
      <c r="A283" s="12">
        <v>12.42</v>
      </c>
      <c r="B283" s="13" t="s">
        <v>157</v>
      </c>
      <c r="C283" s="46">
        <v>6</v>
      </c>
      <c r="D283" s="24" t="s">
        <v>31</v>
      </c>
      <c r="E283" s="61">
        <f>31.16+31.16+31.16+20+15</f>
        <v>128.48000000000002</v>
      </c>
      <c r="F283" s="61">
        <f t="shared" si="63"/>
        <v>770.88000000000011</v>
      </c>
      <c r="G283" s="61">
        <v>90</v>
      </c>
      <c r="H283" s="61">
        <f t="shared" si="64"/>
        <v>540</v>
      </c>
      <c r="I283" s="61">
        <f t="shared" si="65"/>
        <v>1310.88</v>
      </c>
      <c r="J283" s="173"/>
    </row>
    <row r="284" spans="1:12" s="168" customFormat="1" ht="14.85" customHeight="1" x14ac:dyDescent="0.2">
      <c r="A284" s="15">
        <v>12.43</v>
      </c>
      <c r="B284" s="13" t="s">
        <v>158</v>
      </c>
      <c r="C284" s="46">
        <v>1</v>
      </c>
      <c r="D284" s="24" t="s">
        <v>31</v>
      </c>
      <c r="E284" s="61">
        <f>35+35+35+35+20+20+15+15</f>
        <v>210</v>
      </c>
      <c r="F284" s="61">
        <f t="shared" si="63"/>
        <v>210</v>
      </c>
      <c r="G284" s="61">
        <v>90</v>
      </c>
      <c r="H284" s="61">
        <f t="shared" si="64"/>
        <v>90</v>
      </c>
      <c r="I284" s="61">
        <f t="shared" si="65"/>
        <v>300</v>
      </c>
      <c r="J284" s="173"/>
    </row>
    <row r="285" spans="1:12" s="168" customFormat="1" ht="14.85" customHeight="1" x14ac:dyDescent="0.2">
      <c r="A285" s="12">
        <v>12.44</v>
      </c>
      <c r="B285" s="13" t="s">
        <v>159</v>
      </c>
      <c r="C285" s="46">
        <v>3</v>
      </c>
      <c r="D285" s="24" t="s">
        <v>31</v>
      </c>
      <c r="E285" s="17">
        <f>57+15+20</f>
        <v>92</v>
      </c>
      <c r="F285" s="61">
        <f t="shared" si="63"/>
        <v>276</v>
      </c>
      <c r="G285" s="61">
        <v>85</v>
      </c>
      <c r="H285" s="61">
        <f t="shared" si="64"/>
        <v>255</v>
      </c>
      <c r="I285" s="61">
        <f t="shared" si="65"/>
        <v>531</v>
      </c>
      <c r="J285" s="173"/>
    </row>
    <row r="286" spans="1:12" s="168" customFormat="1" ht="16.149999999999999" customHeight="1" x14ac:dyDescent="0.2">
      <c r="A286" s="15">
        <v>12.45</v>
      </c>
      <c r="B286" s="47" t="s">
        <v>93</v>
      </c>
      <c r="C286" s="46">
        <v>123</v>
      </c>
      <c r="D286" s="24" t="s">
        <v>31</v>
      </c>
      <c r="E286" s="61">
        <f>128.44+20+15</f>
        <v>163.44</v>
      </c>
      <c r="F286" s="61">
        <f t="shared" si="63"/>
        <v>20103.12</v>
      </c>
      <c r="G286" s="61">
        <v>90</v>
      </c>
      <c r="H286" s="61">
        <f t="shared" si="64"/>
        <v>11070</v>
      </c>
      <c r="I286" s="61">
        <f t="shared" si="65"/>
        <v>31173.119999999999</v>
      </c>
      <c r="J286" s="185" t="s">
        <v>160</v>
      </c>
    </row>
    <row r="287" spans="1:12" s="168" customFormat="1" ht="16.149999999999999" customHeight="1" x14ac:dyDescent="0.2">
      <c r="A287" s="15">
        <v>12.46</v>
      </c>
      <c r="B287" s="47" t="s">
        <v>288</v>
      </c>
      <c r="C287" s="46">
        <v>1</v>
      </c>
      <c r="D287" s="24" t="s">
        <v>31</v>
      </c>
      <c r="E287" s="61">
        <v>57000</v>
      </c>
      <c r="F287" s="61">
        <f t="shared" si="63"/>
        <v>57000</v>
      </c>
      <c r="G287" s="61">
        <v>4500</v>
      </c>
      <c r="H287" s="61">
        <f t="shared" si="64"/>
        <v>4500</v>
      </c>
      <c r="I287" s="61">
        <f t="shared" si="65"/>
        <v>61500</v>
      </c>
      <c r="J287" s="185"/>
    </row>
    <row r="288" spans="1:12" s="168" customFormat="1" ht="16.149999999999999" customHeight="1" x14ac:dyDescent="0.2">
      <c r="A288" s="12">
        <v>12.47</v>
      </c>
      <c r="B288" s="47" t="s">
        <v>161</v>
      </c>
      <c r="C288" s="46">
        <v>15</v>
      </c>
      <c r="D288" s="24" t="s">
        <v>31</v>
      </c>
      <c r="E288" s="61">
        <v>300</v>
      </c>
      <c r="F288" s="61">
        <f t="shared" si="63"/>
        <v>4500</v>
      </c>
      <c r="G288" s="61">
        <v>115</v>
      </c>
      <c r="H288" s="61">
        <f>C288*G288</f>
        <v>1725</v>
      </c>
      <c r="I288" s="61">
        <f>F288+H288</f>
        <v>6225</v>
      </c>
      <c r="J288" s="181"/>
    </row>
    <row r="289" spans="1:11" s="168" customFormat="1" ht="16.149999999999999" customHeight="1" x14ac:dyDescent="0.2">
      <c r="A289" s="15">
        <v>12.48</v>
      </c>
      <c r="B289" s="47" t="s">
        <v>162</v>
      </c>
      <c r="C289" s="46">
        <v>16</v>
      </c>
      <c r="D289" s="24" t="s">
        <v>31</v>
      </c>
      <c r="E289" s="61">
        <v>50</v>
      </c>
      <c r="F289" s="61">
        <f>C289*E289</f>
        <v>800</v>
      </c>
      <c r="G289" s="61">
        <v>115</v>
      </c>
      <c r="H289" s="61">
        <f>C289*G289</f>
        <v>1840</v>
      </c>
      <c r="I289" s="61">
        <f>F289+H289</f>
        <v>2640</v>
      </c>
      <c r="J289" s="173"/>
    </row>
    <row r="290" spans="1:11" s="168" customFormat="1" ht="16.149999999999999" customHeight="1" x14ac:dyDescent="0.2">
      <c r="A290" s="12">
        <v>12.49</v>
      </c>
      <c r="B290" s="47" t="s">
        <v>163</v>
      </c>
      <c r="C290" s="46">
        <v>3</v>
      </c>
      <c r="D290" s="24" t="s">
        <v>31</v>
      </c>
      <c r="E290" s="61">
        <v>2500</v>
      </c>
      <c r="F290" s="61">
        <f>C290*E290</f>
        <v>7500</v>
      </c>
      <c r="G290" s="61">
        <v>115</v>
      </c>
      <c r="H290" s="61">
        <f>C290*G290</f>
        <v>345</v>
      </c>
      <c r="I290" s="61">
        <f>F290+H290</f>
        <v>7845</v>
      </c>
      <c r="J290" s="186"/>
      <c r="K290" s="188">
        <f>SUM(I273:I291)</f>
        <v>290691.11750000005</v>
      </c>
    </row>
    <row r="291" spans="1:11" s="168" customFormat="1" ht="16.149999999999999" customHeight="1" x14ac:dyDescent="0.2">
      <c r="A291" s="15">
        <v>12.5</v>
      </c>
      <c r="B291" s="47" t="s">
        <v>164</v>
      </c>
      <c r="C291" s="46">
        <v>4</v>
      </c>
      <c r="D291" s="24" t="s">
        <v>31</v>
      </c>
      <c r="E291" s="61">
        <v>1600</v>
      </c>
      <c r="F291" s="61">
        <f>C291*E291</f>
        <v>6400</v>
      </c>
      <c r="G291" s="61">
        <v>115</v>
      </c>
      <c r="H291" s="61">
        <f>C291*G291</f>
        <v>460</v>
      </c>
      <c r="I291" s="61">
        <f>F291+H291</f>
        <v>6860</v>
      </c>
      <c r="J291" s="186"/>
      <c r="K291" s="189">
        <f>K240+K270+K290</f>
        <v>1366125.2975000003</v>
      </c>
    </row>
    <row r="292" spans="1:11" s="168" customFormat="1" ht="16.149999999999999" customHeight="1" x14ac:dyDescent="0.2">
      <c r="A292" s="12"/>
      <c r="B292" s="47"/>
      <c r="C292" s="46"/>
      <c r="D292" s="24"/>
      <c r="E292" s="61"/>
      <c r="F292" s="61"/>
      <c r="G292" s="61"/>
      <c r="H292" s="61"/>
      <c r="I292" s="61"/>
      <c r="J292" s="186"/>
    </row>
    <row r="293" spans="1:11" ht="16.149999999999999" customHeight="1" x14ac:dyDescent="0.2">
      <c r="A293" s="80">
        <v>13</v>
      </c>
      <c r="B293" s="165" t="s">
        <v>99</v>
      </c>
      <c r="C293" s="88"/>
      <c r="D293" s="88"/>
      <c r="E293" s="89"/>
      <c r="F293" s="89"/>
      <c r="G293" s="89"/>
      <c r="H293" s="89"/>
      <c r="I293" s="89"/>
      <c r="J293" s="159"/>
    </row>
    <row r="294" spans="1:11" ht="16.149999999999999" customHeight="1" x14ac:dyDescent="0.2">
      <c r="A294" s="12">
        <v>13.1</v>
      </c>
      <c r="B294" s="13" t="s">
        <v>168</v>
      </c>
      <c r="C294" s="60">
        <v>8</v>
      </c>
      <c r="D294" s="24" t="s">
        <v>27</v>
      </c>
      <c r="E294" s="17">
        <v>1500</v>
      </c>
      <c r="F294" s="17">
        <f>+C294*E294</f>
        <v>12000</v>
      </c>
      <c r="G294" s="17">
        <v>50</v>
      </c>
      <c r="H294" s="61">
        <f>C294*G294</f>
        <v>400</v>
      </c>
      <c r="I294" s="61">
        <f>F294+H294</f>
        <v>12400</v>
      </c>
      <c r="J294" s="178"/>
    </row>
    <row r="295" spans="1:11" ht="16.149999999999999" customHeight="1" x14ac:dyDescent="0.2">
      <c r="A295" s="12">
        <v>13.2</v>
      </c>
      <c r="B295" s="13" t="s">
        <v>195</v>
      </c>
      <c r="C295" s="60">
        <v>1</v>
      </c>
      <c r="D295" s="24" t="s">
        <v>27</v>
      </c>
      <c r="E295" s="17">
        <v>22500</v>
      </c>
      <c r="F295" s="17">
        <f>+C295*E295</f>
        <v>22500</v>
      </c>
      <c r="G295" s="17">
        <v>2000</v>
      </c>
      <c r="H295" s="61">
        <f>C295*G295</f>
        <v>2000</v>
      </c>
      <c r="I295" s="61">
        <f>F295+H295</f>
        <v>24500</v>
      </c>
      <c r="J295" s="178"/>
      <c r="K295" s="187">
        <f>SUM(I294:I295)</f>
        <v>36900</v>
      </c>
    </row>
    <row r="296" spans="1:11" ht="16.149999999999999" customHeight="1" x14ac:dyDescent="0.2">
      <c r="A296" s="12"/>
      <c r="B296" s="13"/>
      <c r="C296" s="60"/>
      <c r="D296" s="24"/>
      <c r="E296" s="17"/>
      <c r="F296" s="17"/>
      <c r="G296" s="17"/>
      <c r="H296" s="61"/>
      <c r="I296" s="61"/>
      <c r="J296" s="178"/>
    </row>
    <row r="297" spans="1:11" ht="16.149999999999999" customHeight="1" x14ac:dyDescent="0.2">
      <c r="A297" s="12"/>
      <c r="B297" s="13"/>
      <c r="C297" s="60"/>
      <c r="D297" s="24"/>
      <c r="E297" s="17"/>
      <c r="F297" s="17"/>
      <c r="G297" s="17"/>
      <c r="H297" s="61"/>
      <c r="I297" s="61"/>
      <c r="J297" s="178"/>
    </row>
    <row r="298" spans="1:11" ht="16.149999999999999" customHeight="1" x14ac:dyDescent="0.2">
      <c r="A298" s="12"/>
      <c r="B298" s="13"/>
      <c r="C298" s="60"/>
      <c r="D298" s="24"/>
      <c r="E298" s="17"/>
      <c r="F298" s="17"/>
      <c r="G298" s="17"/>
      <c r="H298" s="61"/>
      <c r="I298" s="61"/>
      <c r="J298" s="178"/>
    </row>
    <row r="299" spans="1:11" ht="16.149999999999999" customHeight="1" x14ac:dyDescent="0.2">
      <c r="A299" s="12"/>
      <c r="B299" s="13"/>
      <c r="C299" s="60"/>
      <c r="D299" s="24"/>
      <c r="E299" s="17"/>
      <c r="F299" s="17"/>
      <c r="G299" s="17"/>
      <c r="H299" s="61"/>
      <c r="I299" s="61"/>
      <c r="J299" s="178"/>
    </row>
    <row r="300" spans="1:11" ht="16.149999999999999" customHeight="1" x14ac:dyDescent="0.2">
      <c r="A300" s="12"/>
      <c r="B300" s="13"/>
      <c r="C300" s="60"/>
      <c r="D300" s="24"/>
      <c r="E300" s="17"/>
      <c r="F300" s="17"/>
      <c r="G300" s="17"/>
      <c r="H300" s="61"/>
      <c r="I300" s="61"/>
      <c r="J300" s="178"/>
    </row>
    <row r="301" spans="1:11" ht="20.100000000000001" customHeight="1" x14ac:dyDescent="0.2">
      <c r="A301" s="175" t="s">
        <v>0</v>
      </c>
      <c r="B301" s="48" t="s">
        <v>14</v>
      </c>
      <c r="C301" s="74"/>
      <c r="D301" s="74"/>
      <c r="E301" s="75"/>
      <c r="F301" s="75"/>
      <c r="G301" s="75"/>
      <c r="H301" s="75"/>
      <c r="I301" s="75">
        <f>SUM(I272:I300)</f>
        <v>11229060.143470364</v>
      </c>
      <c r="J301" s="50"/>
    </row>
  </sheetData>
  <mergeCells count="9">
    <mergeCell ref="A5:A6"/>
    <mergeCell ref="B5:B6"/>
    <mergeCell ref="C5:C6"/>
    <mergeCell ref="D5:D6"/>
    <mergeCell ref="G2:I2"/>
    <mergeCell ref="J5:J6"/>
    <mergeCell ref="H4:I4"/>
    <mergeCell ref="E5:F5"/>
    <mergeCell ref="G5:H5"/>
  </mergeCells>
  <printOptions horizontalCentered="1"/>
  <pageMargins left="0.70866141732283472" right="0.70866141732283472" top="0.31496062992125984" bottom="0.31496062992125984" header="0.31496062992125984" footer="0.31496062992125984"/>
  <pageSetup paperSize="9" orientation="landscape" r:id="rId1"/>
  <headerFooter>
    <oddHeader>&amp;R&amp;"TH Niramit AS,ธรรมดา"&amp;14ปร4หน้าที่&amp;P/10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I16" sqref="I16"/>
    </sheetView>
  </sheetViews>
  <sheetFormatPr defaultColWidth="8.7109375" defaultRowHeight="16.350000000000001" customHeight="1" x14ac:dyDescent="0.4"/>
  <cols>
    <col min="1" max="1" width="8.7109375" style="126"/>
    <col min="2" max="4" width="18.5703125" style="126" customWidth="1"/>
    <col min="5" max="5" width="12.5703125" style="126" customWidth="1"/>
    <col min="6" max="6" width="16.5703125" style="126" customWidth="1"/>
    <col min="7" max="16384" width="8.7109375" style="126"/>
  </cols>
  <sheetData>
    <row r="1" spans="2:6" ht="15.75" x14ac:dyDescent="0.4">
      <c r="B1" s="123" t="s">
        <v>241</v>
      </c>
      <c r="C1" s="124"/>
      <c r="D1" s="124" t="s">
        <v>242</v>
      </c>
      <c r="E1" s="125" t="s">
        <v>243</v>
      </c>
    </row>
    <row r="2" spans="2:6" ht="15.75" x14ac:dyDescent="0.4">
      <c r="B2" s="127"/>
      <c r="C2" s="128"/>
      <c r="D2" s="124" t="s">
        <v>244</v>
      </c>
      <c r="E2" s="125" t="s">
        <v>245</v>
      </c>
    </row>
    <row r="3" spans="2:6" ht="15.75" x14ac:dyDescent="0.4"/>
    <row r="4" spans="2:6" ht="22.5" x14ac:dyDescent="0.4">
      <c r="D4" s="129" t="s">
        <v>246</v>
      </c>
      <c r="E4" s="130"/>
      <c r="F4" s="131" t="s">
        <v>247</v>
      </c>
    </row>
    <row r="5" spans="2:6" ht="15.75" x14ac:dyDescent="0.4">
      <c r="C5" s="124" t="s">
        <v>248</v>
      </c>
      <c r="D5" s="132">
        <v>1.2611000000000001</v>
      </c>
      <c r="E5" s="130"/>
      <c r="F5" s="126" t="s">
        <v>248</v>
      </c>
    </row>
    <row r="6" spans="2:6" ht="15.75" x14ac:dyDescent="0.4">
      <c r="C6" s="124" t="s">
        <v>249</v>
      </c>
      <c r="D6" s="133">
        <v>1.296</v>
      </c>
      <c r="F6" s="126" t="s">
        <v>249</v>
      </c>
    </row>
    <row r="7" spans="2:6" ht="15.75" x14ac:dyDescent="0.4">
      <c r="C7" s="124" t="s">
        <v>250</v>
      </c>
      <c r="D7" s="124">
        <f xml:space="preserve">  D6 - D5</f>
        <v>3.4899999999999931E-2</v>
      </c>
    </row>
    <row r="8" spans="2:6" ht="15.75" x14ac:dyDescent="0.4">
      <c r="C8" s="124" t="s">
        <v>251</v>
      </c>
      <c r="D8" s="134">
        <f>ปร4เข็มเจาะ!H19</f>
        <v>0</v>
      </c>
      <c r="F8" s="126" t="s">
        <v>251</v>
      </c>
    </row>
    <row r="9" spans="2:6" ht="15.75" x14ac:dyDescent="0.4">
      <c r="C9" s="124" t="s">
        <v>252</v>
      </c>
      <c r="D9" s="135">
        <v>15000000</v>
      </c>
      <c r="F9" s="126" t="s">
        <v>252</v>
      </c>
    </row>
    <row r="10" spans="2:6" ht="15.75" x14ac:dyDescent="0.4">
      <c r="C10" s="124" t="s">
        <v>253</v>
      </c>
      <c r="D10" s="135">
        <v>10000000</v>
      </c>
      <c r="F10" s="126" t="s">
        <v>253</v>
      </c>
    </row>
    <row r="11" spans="2:6" ht="15.75" x14ac:dyDescent="0.4">
      <c r="C11" s="124" t="s">
        <v>254</v>
      </c>
      <c r="D11" s="136">
        <f xml:space="preserve"> D9 - D8</f>
        <v>15000000</v>
      </c>
      <c r="E11" s="137">
        <f>D7*D11</f>
        <v>523499.99999999895</v>
      </c>
      <c r="F11" s="124">
        <f>E11/D13</f>
        <v>0.10469999999999979</v>
      </c>
    </row>
    <row r="12" spans="2:6" ht="15.75" x14ac:dyDescent="0.4">
      <c r="C12" s="124" t="s">
        <v>255</v>
      </c>
      <c r="D12" s="136">
        <f xml:space="preserve"> D8 - D10</f>
        <v>-10000000</v>
      </c>
      <c r="E12" s="137">
        <f>D7*D12</f>
        <v>-348999.9999999993</v>
      </c>
      <c r="F12" s="124">
        <f>E12/D13</f>
        <v>-6.9799999999999862E-2</v>
      </c>
    </row>
    <row r="13" spans="2:6" ht="15.75" x14ac:dyDescent="0.4">
      <c r="C13" s="124" t="s">
        <v>256</v>
      </c>
      <c r="D13" s="136">
        <f xml:space="preserve"> D9 - D10</f>
        <v>5000000</v>
      </c>
      <c r="E13" s="130"/>
      <c r="F13" s="138"/>
    </row>
    <row r="14" spans="2:6" ht="15.75" x14ac:dyDescent="0.4">
      <c r="C14" s="124"/>
      <c r="D14" s="124"/>
    </row>
    <row r="15" spans="2:6" ht="15.75" x14ac:dyDescent="0.4">
      <c r="C15" s="125" t="s">
        <v>257</v>
      </c>
      <c r="D15" s="139">
        <f>D5+F11</f>
        <v>1.3657999999999999</v>
      </c>
    </row>
    <row r="16" spans="2:6" ht="15.75" x14ac:dyDescent="0.4">
      <c r="C16" s="125" t="s">
        <v>258</v>
      </c>
      <c r="D16" s="139">
        <f>D6-F12</f>
        <v>1.3657999999999999</v>
      </c>
    </row>
    <row r="18" spans="3:4" ht="15.75" x14ac:dyDescent="0.4">
      <c r="C18" s="140" t="s">
        <v>259</v>
      </c>
      <c r="D18" s="140" t="s">
        <v>260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4:D119"/>
  <sheetViews>
    <sheetView topLeftCell="A76" zoomScaleNormal="100" workbookViewId="0">
      <selection activeCell="C89" sqref="C89:C95"/>
    </sheetView>
  </sheetViews>
  <sheetFormatPr defaultColWidth="8.7109375" defaultRowHeight="15" customHeight="1" x14ac:dyDescent="0.2"/>
  <cols>
    <col min="1" max="1" width="5" style="106" customWidth="1"/>
    <col min="2" max="2" width="4" style="105" customWidth="1"/>
    <col min="3" max="3" width="75.5703125" style="106" customWidth="1"/>
    <col min="4" max="4" width="11.42578125" style="5" bestFit="1" customWidth="1"/>
    <col min="5" max="16384" width="8.7109375" style="5"/>
  </cols>
  <sheetData>
    <row r="4" spans="1:3" ht="15" customHeight="1" x14ac:dyDescent="0.2">
      <c r="A4" s="5"/>
      <c r="B4" s="107"/>
      <c r="C4" s="147" t="s">
        <v>337</v>
      </c>
    </row>
    <row r="5" spans="1:3" ht="15" customHeight="1" x14ac:dyDescent="0.2">
      <c r="A5" s="5"/>
      <c r="B5" s="107"/>
      <c r="C5" s="147" t="s">
        <v>380</v>
      </c>
    </row>
    <row r="6" spans="1:3" ht="15" customHeight="1" x14ac:dyDescent="0.2">
      <c r="A6" s="5"/>
      <c r="B6" s="107"/>
      <c r="C6" s="147" t="s">
        <v>423</v>
      </c>
    </row>
    <row r="7" spans="1:3" ht="15" customHeight="1" x14ac:dyDescent="0.2">
      <c r="A7" s="107" t="s">
        <v>52</v>
      </c>
      <c r="B7" s="113">
        <v>1</v>
      </c>
      <c r="C7" s="105" t="s">
        <v>382</v>
      </c>
    </row>
    <row r="8" spans="1:3" ht="15" customHeight="1" x14ac:dyDescent="0.2">
      <c r="C8" s="108" t="s">
        <v>307</v>
      </c>
    </row>
    <row r="9" spans="1:3" ht="15" customHeight="1" x14ac:dyDescent="0.2">
      <c r="C9" s="108" t="s">
        <v>381</v>
      </c>
    </row>
    <row r="10" spans="1:3" ht="15" customHeight="1" x14ac:dyDescent="0.2">
      <c r="C10" s="108" t="s">
        <v>309</v>
      </c>
    </row>
    <row r="11" spans="1:3" ht="15" customHeight="1" x14ac:dyDescent="0.2">
      <c r="C11" s="109" t="s">
        <v>383</v>
      </c>
    </row>
    <row r="12" spans="1:3" ht="15" customHeight="1" x14ac:dyDescent="0.2">
      <c r="A12" s="107" t="s">
        <v>52</v>
      </c>
      <c r="B12" s="113">
        <v>2</v>
      </c>
      <c r="C12" s="105" t="s">
        <v>314</v>
      </c>
    </row>
    <row r="13" spans="1:3" ht="15" customHeight="1" x14ac:dyDescent="0.2">
      <c r="C13" s="108" t="s">
        <v>308</v>
      </c>
    </row>
    <row r="14" spans="1:3" ht="15" customHeight="1" x14ac:dyDescent="0.2">
      <c r="C14" s="108" t="s">
        <v>201</v>
      </c>
    </row>
    <row r="15" spans="1:3" ht="15" customHeight="1" x14ac:dyDescent="0.2">
      <c r="C15" s="108" t="s">
        <v>200</v>
      </c>
    </row>
    <row r="16" spans="1:3" ht="15" customHeight="1" x14ac:dyDescent="0.2">
      <c r="C16" s="109" t="s">
        <v>313</v>
      </c>
    </row>
    <row r="17" spans="1:3" ht="15" customHeight="1" x14ac:dyDescent="0.2">
      <c r="A17" s="107" t="s">
        <v>52</v>
      </c>
      <c r="B17" s="113">
        <v>3</v>
      </c>
      <c r="C17" s="105" t="s">
        <v>314</v>
      </c>
    </row>
    <row r="18" spans="1:3" ht="15" customHeight="1" x14ac:dyDescent="0.2">
      <c r="C18" s="108" t="s">
        <v>292</v>
      </c>
    </row>
    <row r="19" spans="1:3" ht="15" customHeight="1" x14ac:dyDescent="0.2">
      <c r="C19" s="108" t="s">
        <v>293</v>
      </c>
    </row>
    <row r="20" spans="1:3" ht="15" customHeight="1" x14ac:dyDescent="0.2">
      <c r="A20" s="106" t="s">
        <v>0</v>
      </c>
      <c r="B20" s="105" t="s">
        <v>0</v>
      </c>
      <c r="C20" s="108" t="s">
        <v>202</v>
      </c>
    </row>
    <row r="21" spans="1:3" ht="15" customHeight="1" x14ac:dyDescent="0.2">
      <c r="C21" s="109" t="s">
        <v>313</v>
      </c>
    </row>
    <row r="22" spans="1:3" ht="15" customHeight="1" x14ac:dyDescent="0.2">
      <c r="A22" s="107" t="s">
        <v>52</v>
      </c>
      <c r="B22" s="113">
        <v>4</v>
      </c>
      <c r="C22" s="105" t="s">
        <v>314</v>
      </c>
    </row>
    <row r="23" spans="1:3" ht="15" customHeight="1" x14ac:dyDescent="0.2">
      <c r="C23" s="108" t="s">
        <v>295</v>
      </c>
    </row>
    <row r="24" spans="1:3" ht="15" customHeight="1" x14ac:dyDescent="0.2">
      <c r="C24" s="108" t="s">
        <v>294</v>
      </c>
    </row>
    <row r="25" spans="1:3" ht="15" customHeight="1" x14ac:dyDescent="0.2">
      <c r="C25" s="108" t="s">
        <v>203</v>
      </c>
    </row>
    <row r="26" spans="1:3" ht="15" customHeight="1" x14ac:dyDescent="0.2">
      <c r="C26" s="109" t="s">
        <v>313</v>
      </c>
    </row>
    <row r="27" spans="1:3" ht="15" customHeight="1" x14ac:dyDescent="0.2">
      <c r="A27" s="107" t="s">
        <v>52</v>
      </c>
      <c r="B27" s="113">
        <v>5</v>
      </c>
      <c r="C27" s="105" t="s">
        <v>315</v>
      </c>
    </row>
    <row r="28" spans="1:3" ht="15" customHeight="1" x14ac:dyDescent="0.2">
      <c r="C28" s="108" t="s">
        <v>296</v>
      </c>
    </row>
    <row r="29" spans="1:3" ht="15" customHeight="1" x14ac:dyDescent="0.2">
      <c r="C29" s="108" t="s">
        <v>297</v>
      </c>
    </row>
    <row r="30" spans="1:3" ht="15" customHeight="1" x14ac:dyDescent="0.2">
      <c r="C30" s="108" t="s">
        <v>46</v>
      </c>
    </row>
    <row r="31" spans="1:3" ht="15" customHeight="1" x14ac:dyDescent="0.2">
      <c r="C31" s="106" t="s">
        <v>310</v>
      </c>
    </row>
    <row r="32" spans="1:3" ht="15" customHeight="1" x14ac:dyDescent="0.2">
      <c r="C32" s="108" t="s">
        <v>204</v>
      </c>
    </row>
    <row r="33" spans="1:3" ht="15" customHeight="1" x14ac:dyDescent="0.2">
      <c r="C33" s="109" t="s">
        <v>313</v>
      </c>
    </row>
    <row r="34" spans="1:3" ht="15" customHeight="1" x14ac:dyDescent="0.2">
      <c r="A34" s="107" t="s">
        <v>52</v>
      </c>
      <c r="B34" s="113">
        <v>6</v>
      </c>
      <c r="C34" s="105" t="s">
        <v>315</v>
      </c>
    </row>
    <row r="35" spans="1:3" ht="15" customHeight="1" x14ac:dyDescent="0.2">
      <c r="C35" s="108" t="s">
        <v>298</v>
      </c>
    </row>
    <row r="36" spans="1:3" ht="15" customHeight="1" x14ac:dyDescent="0.2">
      <c r="C36" s="108" t="s">
        <v>46</v>
      </c>
    </row>
    <row r="37" spans="1:3" ht="15" customHeight="1" x14ac:dyDescent="0.2">
      <c r="C37" s="106" t="s">
        <v>311</v>
      </c>
    </row>
    <row r="38" spans="1:3" ht="15" customHeight="1" x14ac:dyDescent="0.2">
      <c r="C38" s="109" t="s">
        <v>313</v>
      </c>
    </row>
    <row r="39" spans="1:3" ht="15" customHeight="1" x14ac:dyDescent="0.2">
      <c r="A39" s="107" t="s">
        <v>52</v>
      </c>
      <c r="B39" s="114">
        <v>7</v>
      </c>
      <c r="C39" s="105" t="s">
        <v>315</v>
      </c>
    </row>
    <row r="40" spans="1:3" ht="15" customHeight="1" x14ac:dyDescent="0.2">
      <c r="C40" s="108" t="s">
        <v>338</v>
      </c>
    </row>
    <row r="41" spans="1:3" ht="15" customHeight="1" x14ac:dyDescent="0.2">
      <c r="C41" s="108" t="s">
        <v>46</v>
      </c>
    </row>
    <row r="42" spans="1:3" ht="15" customHeight="1" x14ac:dyDescent="0.2">
      <c r="C42" s="106" t="s">
        <v>339</v>
      </c>
    </row>
    <row r="43" spans="1:3" ht="15" customHeight="1" x14ac:dyDescent="0.2">
      <c r="C43" s="108" t="s">
        <v>340</v>
      </c>
    </row>
    <row r="44" spans="1:3" ht="15" customHeight="1" x14ac:dyDescent="0.2">
      <c r="C44" s="108" t="s">
        <v>341</v>
      </c>
    </row>
    <row r="45" spans="1:3" ht="15" customHeight="1" x14ac:dyDescent="0.2">
      <c r="C45" s="108" t="s">
        <v>342</v>
      </c>
    </row>
    <row r="46" spans="1:3" ht="15" customHeight="1" x14ac:dyDescent="0.2">
      <c r="C46" s="109" t="s">
        <v>313</v>
      </c>
    </row>
    <row r="47" spans="1:3" ht="15" customHeight="1" x14ac:dyDescent="0.2">
      <c r="A47" s="107" t="s">
        <v>52</v>
      </c>
      <c r="B47" s="114">
        <v>8</v>
      </c>
      <c r="C47" s="105" t="s">
        <v>384</v>
      </c>
    </row>
    <row r="48" spans="1:3" ht="15" customHeight="1" x14ac:dyDescent="0.2">
      <c r="C48" s="108" t="s">
        <v>332</v>
      </c>
    </row>
    <row r="49" spans="1:3" ht="15" customHeight="1" x14ac:dyDescent="0.2">
      <c r="C49" s="108" t="s">
        <v>326</v>
      </c>
    </row>
    <row r="50" spans="1:3" ht="15" customHeight="1" x14ac:dyDescent="0.2">
      <c r="C50" s="108" t="s">
        <v>46</v>
      </c>
    </row>
    <row r="51" spans="1:3" ht="15" customHeight="1" x14ac:dyDescent="0.2">
      <c r="C51" s="106" t="s">
        <v>299</v>
      </c>
    </row>
    <row r="52" spans="1:3" ht="15" customHeight="1" x14ac:dyDescent="0.2">
      <c r="C52" s="108" t="s">
        <v>94</v>
      </c>
    </row>
    <row r="53" spans="1:3" ht="15" customHeight="1" x14ac:dyDescent="0.2">
      <c r="C53" s="108" t="s">
        <v>115</v>
      </c>
    </row>
    <row r="54" spans="1:3" ht="15" customHeight="1" x14ac:dyDescent="0.2">
      <c r="C54" s="109" t="s">
        <v>313</v>
      </c>
    </row>
    <row r="55" spans="1:3" ht="15" customHeight="1" x14ac:dyDescent="0.2">
      <c r="A55" s="107" t="s">
        <v>52</v>
      </c>
      <c r="B55" s="114">
        <v>9</v>
      </c>
      <c r="C55" s="105" t="s">
        <v>385</v>
      </c>
    </row>
    <row r="56" spans="1:3" ht="15" customHeight="1" x14ac:dyDescent="0.2">
      <c r="C56" s="108" t="s">
        <v>333</v>
      </c>
    </row>
    <row r="57" spans="1:3" ht="15" customHeight="1" x14ac:dyDescent="0.2">
      <c r="C57" s="108" t="s">
        <v>343</v>
      </c>
    </row>
    <row r="58" spans="1:3" ht="15" customHeight="1" x14ac:dyDescent="0.2">
      <c r="C58" s="108" t="s">
        <v>301</v>
      </c>
    </row>
    <row r="59" spans="1:3" ht="15" customHeight="1" x14ac:dyDescent="0.2">
      <c r="C59" s="108" t="s">
        <v>344</v>
      </c>
    </row>
    <row r="60" spans="1:3" ht="15" customHeight="1" x14ac:dyDescent="0.2">
      <c r="C60" s="108" t="s">
        <v>345</v>
      </c>
    </row>
    <row r="61" spans="1:3" ht="15" customHeight="1" x14ac:dyDescent="0.2">
      <c r="C61" s="108" t="s">
        <v>346</v>
      </c>
    </row>
    <row r="62" spans="1:3" ht="15" customHeight="1" x14ac:dyDescent="0.2">
      <c r="C62" s="108" t="s">
        <v>347</v>
      </c>
    </row>
    <row r="63" spans="1:3" ht="15" customHeight="1" x14ac:dyDescent="0.2">
      <c r="C63" s="108" t="s">
        <v>348</v>
      </c>
    </row>
    <row r="64" spans="1:3" ht="15" customHeight="1" x14ac:dyDescent="0.2">
      <c r="C64" s="151" t="s">
        <v>349</v>
      </c>
    </row>
    <row r="65" spans="1:3" ht="15" customHeight="1" x14ac:dyDescent="0.2">
      <c r="C65" s="108" t="s">
        <v>350</v>
      </c>
    </row>
    <row r="66" spans="1:3" ht="15" customHeight="1" x14ac:dyDescent="0.2">
      <c r="C66" s="109" t="s">
        <v>313</v>
      </c>
    </row>
    <row r="67" spans="1:3" ht="15" customHeight="1" x14ac:dyDescent="0.2">
      <c r="A67" s="107" t="s">
        <v>52</v>
      </c>
      <c r="B67" s="114">
        <v>10</v>
      </c>
      <c r="C67" s="105" t="s">
        <v>331</v>
      </c>
    </row>
    <row r="68" spans="1:3" ht="15" customHeight="1" x14ac:dyDescent="0.2">
      <c r="C68" s="108" t="s">
        <v>351</v>
      </c>
    </row>
    <row r="69" spans="1:3" ht="15" customHeight="1" x14ac:dyDescent="0.2">
      <c r="C69" s="108" t="s">
        <v>334</v>
      </c>
    </row>
    <row r="70" spans="1:3" ht="15" customHeight="1" x14ac:dyDescent="0.2">
      <c r="C70" s="108" t="s">
        <v>302</v>
      </c>
    </row>
    <row r="71" spans="1:3" ht="15" customHeight="1" x14ac:dyDescent="0.2">
      <c r="C71" s="108" t="s">
        <v>352</v>
      </c>
    </row>
    <row r="72" spans="1:3" ht="15" customHeight="1" x14ac:dyDescent="0.2">
      <c r="C72" s="108" t="s">
        <v>300</v>
      </c>
    </row>
    <row r="73" spans="1:3" ht="15" customHeight="1" x14ac:dyDescent="0.2">
      <c r="C73" s="108" t="s">
        <v>353</v>
      </c>
    </row>
    <row r="74" spans="1:3" ht="15" customHeight="1" x14ac:dyDescent="0.2">
      <c r="C74" s="108" t="s">
        <v>335</v>
      </c>
    </row>
    <row r="75" spans="1:3" ht="15" customHeight="1" x14ac:dyDescent="0.2">
      <c r="C75" s="108" t="s">
        <v>95</v>
      </c>
    </row>
    <row r="76" spans="1:3" ht="15" customHeight="1" x14ac:dyDescent="0.2">
      <c r="C76" s="108" t="s">
        <v>206</v>
      </c>
    </row>
    <row r="77" spans="1:3" ht="15" customHeight="1" x14ac:dyDescent="0.2">
      <c r="C77" s="108" t="s">
        <v>354</v>
      </c>
    </row>
    <row r="78" spans="1:3" ht="15" customHeight="1" x14ac:dyDescent="0.2">
      <c r="C78" s="108" t="s">
        <v>303</v>
      </c>
    </row>
    <row r="79" spans="1:3" ht="15" customHeight="1" x14ac:dyDescent="0.2">
      <c r="C79" s="109" t="s">
        <v>313</v>
      </c>
    </row>
    <row r="80" spans="1:3" ht="15" customHeight="1" x14ac:dyDescent="0.2">
      <c r="A80" s="107" t="s">
        <v>52</v>
      </c>
      <c r="B80" s="114">
        <v>11</v>
      </c>
      <c r="C80" s="105" t="s">
        <v>331</v>
      </c>
    </row>
    <row r="81" spans="1:4" ht="15" customHeight="1" x14ac:dyDescent="0.2">
      <c r="C81" s="108" t="s">
        <v>355</v>
      </c>
    </row>
    <row r="82" spans="1:4" ht="15" customHeight="1" x14ac:dyDescent="0.2">
      <c r="C82" s="108" t="s">
        <v>356</v>
      </c>
    </row>
    <row r="83" spans="1:4" ht="15" customHeight="1" x14ac:dyDescent="0.2">
      <c r="C83" s="108" t="s">
        <v>306</v>
      </c>
    </row>
    <row r="84" spans="1:4" ht="15" customHeight="1" x14ac:dyDescent="0.2">
      <c r="C84" s="108" t="s">
        <v>305</v>
      </c>
    </row>
    <row r="85" spans="1:4" ht="15" customHeight="1" x14ac:dyDescent="0.2">
      <c r="C85" s="108" t="s">
        <v>312</v>
      </c>
    </row>
    <row r="86" spans="1:4" ht="15" customHeight="1" x14ac:dyDescent="0.2">
      <c r="C86" s="108" t="s">
        <v>304</v>
      </c>
    </row>
    <row r="87" spans="1:4" ht="15" customHeight="1" x14ac:dyDescent="0.2">
      <c r="C87" s="109" t="s">
        <v>313</v>
      </c>
    </row>
    <row r="88" spans="1:4" ht="15" customHeight="1" x14ac:dyDescent="0.2">
      <c r="A88" s="107" t="s">
        <v>52</v>
      </c>
      <c r="B88" s="114">
        <v>12</v>
      </c>
      <c r="C88" s="105" t="s">
        <v>386</v>
      </c>
    </row>
    <row r="89" spans="1:4" ht="15" customHeight="1" x14ac:dyDescent="0.2">
      <c r="C89" s="108" t="s">
        <v>357</v>
      </c>
    </row>
    <row r="90" spans="1:4" ht="15" customHeight="1" x14ac:dyDescent="0.2">
      <c r="C90" s="108" t="s">
        <v>96</v>
      </c>
    </row>
    <row r="91" spans="1:4" ht="15" customHeight="1" x14ac:dyDescent="0.2">
      <c r="C91" s="108" t="s">
        <v>336</v>
      </c>
    </row>
    <row r="92" spans="1:4" ht="15" customHeight="1" x14ac:dyDescent="0.2">
      <c r="C92" s="108" t="s">
        <v>53</v>
      </c>
    </row>
    <row r="93" spans="1:4" ht="15" customHeight="1" x14ac:dyDescent="0.2">
      <c r="C93" s="108" t="s">
        <v>54</v>
      </c>
    </row>
    <row r="94" spans="1:4" ht="15" customHeight="1" x14ac:dyDescent="0.2">
      <c r="C94" s="108" t="s">
        <v>55</v>
      </c>
    </row>
    <row r="95" spans="1:4" ht="15" customHeight="1" x14ac:dyDescent="0.2">
      <c r="C95" s="106" t="s">
        <v>51</v>
      </c>
    </row>
    <row r="96" spans="1:4" ht="15" customHeight="1" x14ac:dyDescent="0.2">
      <c r="C96" s="111" t="s">
        <v>358</v>
      </c>
      <c r="D96" s="116"/>
    </row>
    <row r="97" spans="2:3" ht="15" customHeight="1" x14ac:dyDescent="0.2">
      <c r="B97" s="106"/>
      <c r="C97" s="112"/>
    </row>
    <row r="98" spans="2:3" ht="15" customHeight="1" x14ac:dyDescent="0.2">
      <c r="C98" s="108"/>
    </row>
    <row r="99" spans="2:3" ht="15" customHeight="1" x14ac:dyDescent="0.2">
      <c r="C99" s="110"/>
    </row>
    <row r="103" spans="2:3" ht="15" customHeight="1" x14ac:dyDescent="0.2">
      <c r="C103" s="5"/>
    </row>
    <row r="116" spans="2:3" ht="15" customHeight="1" x14ac:dyDescent="0.2">
      <c r="B116" s="106"/>
      <c r="C116" s="105"/>
    </row>
    <row r="117" spans="2:3" ht="15" customHeight="1" x14ac:dyDescent="0.2">
      <c r="C117" s="108"/>
    </row>
    <row r="118" spans="2:3" ht="15" customHeight="1" x14ac:dyDescent="0.2">
      <c r="B118" s="106"/>
      <c r="C118" s="104"/>
    </row>
    <row r="119" spans="2:3" ht="15" customHeight="1" x14ac:dyDescent="0.2">
      <c r="B119" s="106"/>
      <c r="C119" s="104"/>
    </row>
  </sheetData>
  <phoneticPr fontId="3" type="noConversion"/>
  <pageMargins left="0.75" right="0.6" top="0.24" bottom="0.28999999999999998" header="0.26" footer="0.3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ปร5</vt:lpstr>
      <vt:lpstr>ปร4เข็มเจาะ</vt:lpstr>
      <vt:lpstr>factor F</vt:lpstr>
      <vt:lpstr>งวดงานเข็ม</vt:lpstr>
      <vt:lpstr>ปร4เข็มเจาะ!Print_Titles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แฟลต66KB01</dc:title>
  <dc:creator>ARAN</dc:creator>
  <cp:lastModifiedBy>BPIC</cp:lastModifiedBy>
  <cp:lastPrinted>2024-12-24T07:57:35Z</cp:lastPrinted>
  <dcterms:created xsi:type="dcterms:W3CDTF">2007-07-16T13:36:28Z</dcterms:created>
  <dcterms:modified xsi:type="dcterms:W3CDTF">2024-12-24T10:03:04Z</dcterms:modified>
</cp:coreProperties>
</file>