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ทางด้านวิศวกรรมโยธา\งานประมาณราคาก่อสร้าง\BOQ. โครงการต่างๆ\วก.บ้านไผ่\"/>
    </mc:Choice>
  </mc:AlternateContent>
  <xr:revisionPtr revIDLastSave="0" documentId="13_ncr:1_{8EAC95F7-B30A-46DC-9827-F99B68BA70FA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ปร5" sheetId="14" r:id="rId1"/>
    <sheet name="ปร4" sheetId="34" r:id="rId2"/>
    <sheet name="ราคา" sheetId="40" r:id="rId3"/>
    <sheet name="ตาราง FACTOR F" sheetId="42" r:id="rId4"/>
    <sheet name="Factor F" sheetId="41" r:id="rId5"/>
  </sheets>
  <definedNames>
    <definedName name="factor_table" localSheetId="3">'ตาราง FACTOR F'!$F$10:$F$33</definedName>
    <definedName name="_xlnm.Print_Area" localSheetId="3">'ตาราง FACTOR F'!$A$1:$G$33</definedName>
    <definedName name="_xlnm.Print_Area" localSheetId="1">ปร4!$A$1:$O$305</definedName>
    <definedName name="_xlnm.Print_Area" localSheetId="0">ปร5!$A$1:$F$29</definedName>
    <definedName name="_xlnm.Print_Titles" localSheetId="1">ปร4!$1:$6</definedName>
    <definedName name="_xlnm.Print_Titles" localSheetId="2">ราคา!$1:$3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4" i="34" l="1"/>
  <c r="I304" i="34" s="1"/>
  <c r="I21" i="34" s="1"/>
  <c r="F303" i="34"/>
  <c r="I303" i="34" s="1"/>
  <c r="F302" i="34"/>
  <c r="I302" i="34" s="1"/>
  <c r="C301" i="34"/>
  <c r="F301" i="34" s="1"/>
  <c r="I301" i="34" s="1"/>
  <c r="C300" i="34"/>
  <c r="F300" i="34" s="1"/>
  <c r="I300" i="34" s="1"/>
  <c r="C299" i="34"/>
  <c r="F299" i="34" s="1"/>
  <c r="I299" i="34" s="1"/>
  <c r="C298" i="34"/>
  <c r="F298" i="34" s="1"/>
  <c r="I298" i="34" s="1"/>
  <c r="C297" i="34"/>
  <c r="F297" i="34" s="1"/>
  <c r="I297" i="34" s="1"/>
  <c r="H295" i="34"/>
  <c r="I295" i="34" s="1"/>
  <c r="F294" i="34"/>
  <c r="I294" i="34" s="1"/>
  <c r="F293" i="34"/>
  <c r="I293" i="34" s="1"/>
  <c r="F292" i="34"/>
  <c r="I292" i="34" s="1"/>
  <c r="F291" i="34"/>
  <c r="I291" i="34" s="1"/>
  <c r="F290" i="34"/>
  <c r="I290" i="34" s="1"/>
  <c r="H288" i="34"/>
  <c r="I288" i="34" s="1"/>
  <c r="H287" i="34"/>
  <c r="F287" i="34"/>
  <c r="F286" i="34"/>
  <c r="I286" i="34" s="1"/>
  <c r="F285" i="34"/>
  <c r="I285" i="34" s="1"/>
  <c r="F284" i="34"/>
  <c r="I284" i="34" s="1"/>
  <c r="F283" i="34"/>
  <c r="I283" i="34" s="1"/>
  <c r="H280" i="34"/>
  <c r="F280" i="34"/>
  <c r="I280" i="34" s="1"/>
  <c r="H279" i="34"/>
  <c r="F279" i="34"/>
  <c r="H278" i="34"/>
  <c r="F278" i="34"/>
  <c r="H275" i="34"/>
  <c r="F275" i="34"/>
  <c r="H274" i="34"/>
  <c r="F274" i="34"/>
  <c r="H273" i="34"/>
  <c r="F273" i="34"/>
  <c r="F271" i="34"/>
  <c r="I271" i="34" s="1"/>
  <c r="H270" i="34"/>
  <c r="F270" i="34"/>
  <c r="H268" i="34"/>
  <c r="F268" i="34"/>
  <c r="H267" i="34"/>
  <c r="F267" i="34"/>
  <c r="H266" i="34"/>
  <c r="F266" i="34"/>
  <c r="H265" i="34"/>
  <c r="F265" i="34"/>
  <c r="H264" i="34"/>
  <c r="F264" i="34"/>
  <c r="H263" i="34"/>
  <c r="F263" i="34"/>
  <c r="H262" i="34"/>
  <c r="F262" i="34"/>
  <c r="H261" i="34"/>
  <c r="F261" i="34"/>
  <c r="H260" i="34"/>
  <c r="F260" i="34"/>
  <c r="H259" i="34"/>
  <c r="F259" i="34"/>
  <c r="H257" i="34"/>
  <c r="F257" i="34"/>
  <c r="H256" i="34"/>
  <c r="F256" i="34"/>
  <c r="C255" i="34"/>
  <c r="H255" i="34" s="1"/>
  <c r="C254" i="34"/>
  <c r="H254" i="34" s="1"/>
  <c r="C253" i="34"/>
  <c r="H253" i="34" s="1"/>
  <c r="C252" i="34"/>
  <c r="H252" i="34" s="1"/>
  <c r="H251" i="34"/>
  <c r="F251" i="34"/>
  <c r="H250" i="34"/>
  <c r="F250" i="34"/>
  <c r="H249" i="34"/>
  <c r="F249" i="34"/>
  <c r="H248" i="34"/>
  <c r="F248" i="34"/>
  <c r="H247" i="34"/>
  <c r="F247" i="34"/>
  <c r="H242" i="34"/>
  <c r="F242" i="34"/>
  <c r="H241" i="34"/>
  <c r="F241" i="34"/>
  <c r="H240" i="34"/>
  <c r="F240" i="34"/>
  <c r="H239" i="34"/>
  <c r="F239" i="34"/>
  <c r="H238" i="34"/>
  <c r="F238" i="34"/>
  <c r="H237" i="34"/>
  <c r="F237" i="34"/>
  <c r="H236" i="34"/>
  <c r="F236" i="34"/>
  <c r="C235" i="34"/>
  <c r="H235" i="34" s="1"/>
  <c r="H234" i="34"/>
  <c r="F234" i="34"/>
  <c r="H233" i="34"/>
  <c r="F233" i="34"/>
  <c r="I233" i="34" s="1"/>
  <c r="H231" i="34"/>
  <c r="F231" i="34"/>
  <c r="H230" i="34"/>
  <c r="F230" i="34"/>
  <c r="I230" i="34" s="1"/>
  <c r="H229" i="34"/>
  <c r="F229" i="34"/>
  <c r="C228" i="34"/>
  <c r="F228" i="34" s="1"/>
  <c r="C227" i="34"/>
  <c r="H227" i="34" s="1"/>
  <c r="C226" i="34"/>
  <c r="H226" i="34" s="1"/>
  <c r="C225" i="34"/>
  <c r="H225" i="34" s="1"/>
  <c r="C224" i="34"/>
  <c r="H224" i="34" s="1"/>
  <c r="C222" i="34"/>
  <c r="H222" i="34" s="1"/>
  <c r="C221" i="34"/>
  <c r="H221" i="34" s="1"/>
  <c r="C220" i="34"/>
  <c r="F220" i="34" s="1"/>
  <c r="C219" i="34"/>
  <c r="H219" i="34" s="1"/>
  <c r="C218" i="34"/>
  <c r="H218" i="34" s="1"/>
  <c r="H217" i="34"/>
  <c r="C217" i="34"/>
  <c r="F217" i="34" s="1"/>
  <c r="H215" i="34"/>
  <c r="F215" i="34"/>
  <c r="H214" i="34"/>
  <c r="F214" i="34"/>
  <c r="H211" i="34"/>
  <c r="F211" i="34"/>
  <c r="H210" i="34"/>
  <c r="F210" i="34"/>
  <c r="H209" i="34"/>
  <c r="F209" i="34"/>
  <c r="H207" i="34"/>
  <c r="F207" i="34"/>
  <c r="H206" i="34"/>
  <c r="F206" i="34"/>
  <c r="H205" i="34"/>
  <c r="F205" i="34"/>
  <c r="H204" i="34"/>
  <c r="F204" i="34"/>
  <c r="I273" i="34" l="1"/>
  <c r="I20" i="34" s="1"/>
  <c r="I250" i="34"/>
  <c r="I265" i="34"/>
  <c r="I234" i="34"/>
  <c r="I206" i="34"/>
  <c r="I215" i="34"/>
  <c r="I241" i="34"/>
  <c r="I251" i="34"/>
  <c r="I207" i="34"/>
  <c r="I240" i="34"/>
  <c r="I259" i="34"/>
  <c r="I217" i="34"/>
  <c r="H228" i="34"/>
  <c r="I228" i="34" s="1"/>
  <c r="I266" i="34"/>
  <c r="I274" i="34"/>
  <c r="I209" i="34"/>
  <c r="I242" i="34"/>
  <c r="I229" i="34"/>
  <c r="I261" i="34"/>
  <c r="I267" i="34"/>
  <c r="I275" i="34"/>
  <c r="H220" i="34"/>
  <c r="I220" i="34" s="1"/>
  <c r="I262" i="34"/>
  <c r="I211" i="34"/>
  <c r="I238" i="34"/>
  <c r="I248" i="34"/>
  <c r="I231" i="34"/>
  <c r="I256" i="34"/>
  <c r="I263" i="34"/>
  <c r="I279" i="34"/>
  <c r="I205" i="34"/>
  <c r="I214" i="34"/>
  <c r="I239" i="34"/>
  <c r="I249" i="34"/>
  <c r="I257" i="34"/>
  <c r="I264" i="34"/>
  <c r="I260" i="34"/>
  <c r="I236" i="34"/>
  <c r="I237" i="34"/>
  <c r="I278" i="34"/>
  <c r="I204" i="34"/>
  <c r="I270" i="34"/>
  <c r="I210" i="34"/>
  <c r="I247" i="34"/>
  <c r="I287" i="34"/>
  <c r="I268" i="34"/>
  <c r="F255" i="34"/>
  <c r="I255" i="34" s="1"/>
  <c r="F254" i="34"/>
  <c r="I254" i="34" s="1"/>
  <c r="F252" i="34"/>
  <c r="I252" i="34" s="1"/>
  <c r="F253" i="34"/>
  <c r="I253" i="34" s="1"/>
  <c r="F235" i="34"/>
  <c r="I235" i="34" s="1"/>
  <c r="F227" i="34"/>
  <c r="I227" i="34" s="1"/>
  <c r="F226" i="34"/>
  <c r="I226" i="34" s="1"/>
  <c r="F225" i="34"/>
  <c r="I225" i="34" s="1"/>
  <c r="F222" i="34"/>
  <c r="I222" i="34" s="1"/>
  <c r="F224" i="34"/>
  <c r="I224" i="34" s="1"/>
  <c r="F219" i="34"/>
  <c r="I219" i="34" s="1"/>
  <c r="F218" i="34"/>
  <c r="I218" i="34" s="1"/>
  <c r="F221" i="34"/>
  <c r="I221" i="34" s="1"/>
  <c r="I19" i="34" l="1"/>
  <c r="F91" i="34" l="1"/>
  <c r="F89" i="34"/>
  <c r="H113" i="34" l="1"/>
  <c r="F113" i="34"/>
  <c r="F192" i="34"/>
  <c r="H192" i="34"/>
  <c r="F193" i="34"/>
  <c r="H193" i="34"/>
  <c r="F194" i="34"/>
  <c r="H194" i="34"/>
  <c r="F195" i="34"/>
  <c r="H195" i="34"/>
  <c r="F196" i="34"/>
  <c r="H196" i="34"/>
  <c r="F197" i="34"/>
  <c r="H197" i="34"/>
  <c r="F198" i="34"/>
  <c r="H198" i="34"/>
  <c r="F199" i="34"/>
  <c r="H199" i="34"/>
  <c r="F200" i="34"/>
  <c r="H200" i="34"/>
  <c r="F186" i="34"/>
  <c r="H186" i="34"/>
  <c r="F157" i="34"/>
  <c r="H157" i="34"/>
  <c r="F158" i="34"/>
  <c r="H158" i="34"/>
  <c r="F159" i="34"/>
  <c r="H159" i="34"/>
  <c r="F160" i="34"/>
  <c r="H160" i="34"/>
  <c r="F161" i="34"/>
  <c r="H161" i="34"/>
  <c r="F162" i="34"/>
  <c r="H162" i="34"/>
  <c r="I162" i="34" s="1"/>
  <c r="F168" i="34"/>
  <c r="H168" i="34"/>
  <c r="H173" i="34"/>
  <c r="I173" i="34" s="1"/>
  <c r="F174" i="34"/>
  <c r="H174" i="34"/>
  <c r="F175" i="34"/>
  <c r="H175" i="34"/>
  <c r="H177" i="34"/>
  <c r="I177" i="34" s="1"/>
  <c r="F178" i="34"/>
  <c r="H178" i="34"/>
  <c r="H156" i="34"/>
  <c r="F156" i="34"/>
  <c r="I156" i="34" s="1"/>
  <c r="F137" i="34"/>
  <c r="H137" i="34"/>
  <c r="F138" i="34"/>
  <c r="I138" i="34" s="1"/>
  <c r="F139" i="34"/>
  <c r="I139" i="34" s="1"/>
  <c r="F140" i="34"/>
  <c r="F141" i="34"/>
  <c r="H141" i="34"/>
  <c r="I141" i="34" s="1"/>
  <c r="F142" i="34"/>
  <c r="H142" i="34"/>
  <c r="F143" i="34"/>
  <c r="H143" i="34"/>
  <c r="F144" i="34"/>
  <c r="H144" i="34"/>
  <c r="F145" i="34"/>
  <c r="H145" i="34"/>
  <c r="F146" i="34"/>
  <c r="H146" i="34"/>
  <c r="F147" i="34"/>
  <c r="H147" i="34"/>
  <c r="I147" i="34" s="1"/>
  <c r="F148" i="34"/>
  <c r="H148" i="34"/>
  <c r="F149" i="34"/>
  <c r="H149" i="34"/>
  <c r="F150" i="34"/>
  <c r="H150" i="34"/>
  <c r="F151" i="34"/>
  <c r="H151" i="34"/>
  <c r="F152" i="34"/>
  <c r="H152" i="34"/>
  <c r="H136" i="34"/>
  <c r="F136" i="34"/>
  <c r="F132" i="34"/>
  <c r="H132" i="34"/>
  <c r="F134" i="34"/>
  <c r="H134" i="34"/>
  <c r="H131" i="34"/>
  <c r="F131" i="34"/>
  <c r="F126" i="34"/>
  <c r="F127" i="34"/>
  <c r="I127" i="34" s="1"/>
  <c r="F128" i="34"/>
  <c r="F129" i="34"/>
  <c r="H129" i="34"/>
  <c r="H125" i="34"/>
  <c r="F125" i="34"/>
  <c r="F116" i="34"/>
  <c r="H116" i="34"/>
  <c r="F117" i="34"/>
  <c r="H117" i="34"/>
  <c r="F118" i="34"/>
  <c r="H118" i="34"/>
  <c r="F119" i="34"/>
  <c r="H119" i="34"/>
  <c r="F120" i="34"/>
  <c r="H120" i="34"/>
  <c r="I120" i="34" s="1"/>
  <c r="F121" i="34"/>
  <c r="H121" i="34"/>
  <c r="F122" i="34"/>
  <c r="H122" i="34"/>
  <c r="H115" i="34"/>
  <c r="F115" i="34"/>
  <c r="F104" i="34"/>
  <c r="H104" i="34"/>
  <c r="F105" i="34"/>
  <c r="H105" i="34"/>
  <c r="I105" i="34" s="1"/>
  <c r="F106" i="34"/>
  <c r="H106" i="34"/>
  <c r="F107" i="34"/>
  <c r="H107" i="34"/>
  <c r="F108" i="34"/>
  <c r="H108" i="34"/>
  <c r="F109" i="34"/>
  <c r="H109" i="34"/>
  <c r="I109" i="34" s="1"/>
  <c r="F110" i="34"/>
  <c r="H110" i="34"/>
  <c r="F111" i="34"/>
  <c r="H111" i="34"/>
  <c r="F112" i="34"/>
  <c r="H112" i="34"/>
  <c r="F97" i="34"/>
  <c r="H97" i="34"/>
  <c r="F98" i="34"/>
  <c r="H98" i="34"/>
  <c r="I98" i="34" s="1"/>
  <c r="F99" i="34"/>
  <c r="H99" i="34"/>
  <c r="I99" i="34" s="1"/>
  <c r="F100" i="34"/>
  <c r="H100" i="34"/>
  <c r="H96" i="34"/>
  <c r="F96" i="34"/>
  <c r="F84" i="34"/>
  <c r="H84" i="34"/>
  <c r="F85" i="34"/>
  <c r="H85" i="34"/>
  <c r="F86" i="34"/>
  <c r="H86" i="34"/>
  <c r="H89" i="34"/>
  <c r="F90" i="34"/>
  <c r="H90" i="34"/>
  <c r="H91" i="34"/>
  <c r="I91" i="34" s="1"/>
  <c r="H92" i="34"/>
  <c r="I92" i="34" s="1"/>
  <c r="F93" i="34"/>
  <c r="H93" i="34"/>
  <c r="H83" i="34"/>
  <c r="F83" i="34"/>
  <c r="I83" i="34" s="1"/>
  <c r="F69" i="34"/>
  <c r="H69" i="34"/>
  <c r="F70" i="34"/>
  <c r="H70" i="34"/>
  <c r="F71" i="34"/>
  <c r="I71" i="34" s="1"/>
  <c r="H74" i="34"/>
  <c r="I74" i="34" s="1"/>
  <c r="F75" i="34"/>
  <c r="H75" i="34"/>
  <c r="F77" i="34"/>
  <c r="H77" i="34"/>
  <c r="F78" i="34"/>
  <c r="F79" i="34"/>
  <c r="I79" i="34" s="1"/>
  <c r="H80" i="34"/>
  <c r="I80" i="34" s="1"/>
  <c r="H68" i="34"/>
  <c r="F68" i="34"/>
  <c r="F47" i="34"/>
  <c r="H48" i="34"/>
  <c r="I48" i="34"/>
  <c r="F49" i="34"/>
  <c r="I49" i="34" s="1"/>
  <c r="F50" i="34"/>
  <c r="F52" i="34"/>
  <c r="H52" i="34"/>
  <c r="F54" i="34"/>
  <c r="H54" i="34"/>
  <c r="F55" i="34"/>
  <c r="H55" i="34"/>
  <c r="F56" i="34"/>
  <c r="H56" i="34"/>
  <c r="F57" i="34"/>
  <c r="H57" i="34"/>
  <c r="F58" i="34"/>
  <c r="H58" i="34"/>
  <c r="F59" i="34"/>
  <c r="H59" i="34"/>
  <c r="F60" i="34"/>
  <c r="I60" i="34" s="1"/>
  <c r="F61" i="34"/>
  <c r="H61" i="34"/>
  <c r="F62" i="34"/>
  <c r="H62" i="34"/>
  <c r="F63" i="34"/>
  <c r="H63" i="34"/>
  <c r="F64" i="34"/>
  <c r="I64" i="34" s="1"/>
  <c r="H45" i="34"/>
  <c r="F45" i="34"/>
  <c r="H38" i="34"/>
  <c r="I38" i="34" s="1"/>
  <c r="F39" i="34"/>
  <c r="H39" i="34"/>
  <c r="F40" i="34"/>
  <c r="H40" i="34"/>
  <c r="H41" i="34"/>
  <c r="F42" i="34"/>
  <c r="H42" i="34"/>
  <c r="H43" i="34"/>
  <c r="I43" i="34" s="1"/>
  <c r="H37" i="34"/>
  <c r="I158" i="34" l="1"/>
  <c r="I178" i="34"/>
  <c r="I161" i="34"/>
  <c r="I193" i="34"/>
  <c r="I192" i="34"/>
  <c r="I186" i="34"/>
  <c r="I175" i="34"/>
  <c r="I112" i="34"/>
  <c r="I63" i="34"/>
  <c r="I54" i="34"/>
  <c r="I110" i="34"/>
  <c r="I199" i="34"/>
  <c r="I137" i="34"/>
  <c r="I106" i="34"/>
  <c r="I85" i="34"/>
  <c r="I159" i="34"/>
  <c r="I39" i="34"/>
  <c r="I97" i="34"/>
  <c r="I116" i="34"/>
  <c r="I134" i="34"/>
  <c r="I149" i="34"/>
  <c r="I195" i="34"/>
  <c r="I131" i="34"/>
  <c r="F65" i="34"/>
  <c r="F66" i="34" s="1"/>
  <c r="I61" i="34"/>
  <c r="I70" i="34"/>
  <c r="I90" i="34"/>
  <c r="I132" i="34"/>
  <c r="I148" i="34"/>
  <c r="I142" i="34"/>
  <c r="I194" i="34"/>
  <c r="H65" i="34"/>
  <c r="H66" i="34" s="1"/>
  <c r="I146" i="34"/>
  <c r="I41" i="34"/>
  <c r="I93" i="34"/>
  <c r="I86" i="34"/>
  <c r="I104" i="34"/>
  <c r="I118" i="34"/>
  <c r="I145" i="34"/>
  <c r="I197" i="34"/>
  <c r="I168" i="34"/>
  <c r="I121" i="34"/>
  <c r="I150" i="34"/>
  <c r="I174" i="34"/>
  <c r="I200" i="34"/>
  <c r="I198" i="34"/>
  <c r="I196" i="34"/>
  <c r="I160" i="34"/>
  <c r="I157" i="34"/>
  <c r="I152" i="34"/>
  <c r="I151" i="34"/>
  <c r="I144" i="34"/>
  <c r="I143" i="34"/>
  <c r="I140" i="34"/>
  <c r="I136" i="34"/>
  <c r="I129" i="34"/>
  <c r="I128" i="34"/>
  <c r="I126" i="34"/>
  <c r="I125" i="34"/>
  <c r="I122" i="34"/>
  <c r="I119" i="34"/>
  <c r="I117" i="34"/>
  <c r="I115" i="34"/>
  <c r="I113" i="34"/>
  <c r="I111" i="34"/>
  <c r="I108" i="34"/>
  <c r="I107" i="34"/>
  <c r="I100" i="34"/>
  <c r="I96" i="34"/>
  <c r="I89" i="34"/>
  <c r="I84" i="34"/>
  <c r="I78" i="34"/>
  <c r="I77" i="34"/>
  <c r="I75" i="34"/>
  <c r="I69" i="34"/>
  <c r="I68" i="34"/>
  <c r="I59" i="34"/>
  <c r="I52" i="34"/>
  <c r="I50" i="34"/>
  <c r="I45" i="34"/>
  <c r="I42" i="34"/>
  <c r="I40" i="34"/>
  <c r="I37" i="34"/>
  <c r="I62" i="34"/>
  <c r="I58" i="34"/>
  <c r="I56" i="34"/>
  <c r="I57" i="34"/>
  <c r="I55" i="34"/>
  <c r="I47" i="34"/>
  <c r="I51" i="34"/>
  <c r="E22" i="40"/>
  <c r="E21" i="40"/>
  <c r="E20" i="40"/>
  <c r="C13" i="14" l="1"/>
  <c r="E13" i="14" s="1"/>
  <c r="I16" i="34"/>
  <c r="I14" i="34"/>
  <c r="I18" i="34"/>
  <c r="I11" i="34"/>
  <c r="I9" i="34"/>
  <c r="I8" i="34"/>
  <c r="I65" i="34"/>
  <c r="I66" i="34" s="1"/>
  <c r="E86" i="40"/>
  <c r="E8" i="40"/>
  <c r="C8" i="41" l="1"/>
  <c r="C14" i="41"/>
  <c r="C14" i="14" l="1"/>
  <c r="E14" i="14" s="1"/>
  <c r="C72" i="34" l="1"/>
  <c r="E257" i="40"/>
  <c r="E244" i="40"/>
  <c r="C73" i="34" l="1"/>
  <c r="F73" i="34" s="1"/>
  <c r="I73" i="34" s="1"/>
  <c r="F72" i="34"/>
  <c r="I72" i="34" l="1"/>
  <c r="H18" i="14"/>
  <c r="E131" i="40" l="1"/>
  <c r="N292" i="34" l="1"/>
  <c r="L292" i="34"/>
  <c r="N134" i="34"/>
  <c r="N86" i="34"/>
  <c r="N64" i="34"/>
  <c r="N43" i="34"/>
  <c r="E325" i="40" l="1"/>
  <c r="E344" i="40"/>
  <c r="E339" i="40"/>
  <c r="E199" i="40"/>
  <c r="E156" i="40"/>
  <c r="E212" i="40" s="1"/>
  <c r="E144" i="40"/>
  <c r="E143" i="40"/>
  <c r="E125" i="40"/>
  <c r="E124" i="40"/>
  <c r="M292" i="34" l="1"/>
  <c r="L113" i="34"/>
  <c r="O292" i="34"/>
  <c r="N101" i="34"/>
  <c r="E13" i="40"/>
  <c r="F13" i="40" s="1"/>
  <c r="C428" i="40"/>
  <c r="H428" i="40" s="1"/>
  <c r="C425" i="40"/>
  <c r="H425" i="40" s="1"/>
  <c r="E422" i="40"/>
  <c r="C422" i="40"/>
  <c r="C421" i="40"/>
  <c r="F421" i="40" s="1"/>
  <c r="C420" i="40"/>
  <c r="F420" i="40" s="1"/>
  <c r="E413" i="40"/>
  <c r="C413" i="40"/>
  <c r="C412" i="40"/>
  <c r="F412" i="40" s="1"/>
  <c r="C411" i="40"/>
  <c r="F411" i="40" s="1"/>
  <c r="C401" i="40"/>
  <c r="H401" i="40" s="1"/>
  <c r="C400" i="40"/>
  <c r="H400" i="40" s="1"/>
  <c r="C399" i="40"/>
  <c r="H399" i="40" s="1"/>
  <c r="F398" i="40"/>
  <c r="C398" i="40"/>
  <c r="H398" i="40" s="1"/>
  <c r="C397" i="40"/>
  <c r="H397" i="40" s="1"/>
  <c r="C396" i="40"/>
  <c r="F396" i="40" s="1"/>
  <c r="C391" i="40"/>
  <c r="H391" i="40" s="1"/>
  <c r="C390" i="40"/>
  <c r="F390" i="40" s="1"/>
  <c r="C385" i="40"/>
  <c r="H385" i="40" s="1"/>
  <c r="C384" i="40"/>
  <c r="H384" i="40" s="1"/>
  <c r="C380" i="40"/>
  <c r="H380" i="40" s="1"/>
  <c r="C379" i="40"/>
  <c r="H379" i="40" s="1"/>
  <c r="C378" i="40"/>
  <c r="F378" i="40" s="1"/>
  <c r="H377" i="40"/>
  <c r="F377" i="40"/>
  <c r="E376" i="40"/>
  <c r="C376" i="40"/>
  <c r="H376" i="40" s="1"/>
  <c r="E375" i="40"/>
  <c r="C375" i="40"/>
  <c r="H375" i="40" s="1"/>
  <c r="H368" i="40"/>
  <c r="H367" i="40"/>
  <c r="H365" i="40"/>
  <c r="F364" i="40"/>
  <c r="H363" i="40"/>
  <c r="H362" i="40"/>
  <c r="F362" i="40"/>
  <c r="H360" i="40"/>
  <c r="F360" i="40"/>
  <c r="H359" i="40"/>
  <c r="F359" i="40"/>
  <c r="F358" i="40"/>
  <c r="F347" i="40"/>
  <c r="F346" i="40"/>
  <c r="F345" i="40"/>
  <c r="F344" i="40"/>
  <c r="F343" i="40"/>
  <c r="F339" i="40"/>
  <c r="E338" i="40"/>
  <c r="F338" i="40" s="1"/>
  <c r="F334" i="40"/>
  <c r="F333" i="40"/>
  <c r="F332" i="40"/>
  <c r="E328" i="40"/>
  <c r="F328" i="40" s="1"/>
  <c r="F327" i="40"/>
  <c r="F326" i="40"/>
  <c r="F325" i="40"/>
  <c r="E321" i="40"/>
  <c r="F321" i="40" s="1"/>
  <c r="F320" i="40"/>
  <c r="F319" i="40"/>
  <c r="F318" i="40"/>
  <c r="H312" i="40"/>
  <c r="H314" i="40" s="1"/>
  <c r="F312" i="40"/>
  <c r="F314" i="40" s="1"/>
  <c r="H307" i="40"/>
  <c r="H309" i="40" s="1"/>
  <c r="F307" i="40"/>
  <c r="F309" i="40" s="1"/>
  <c r="F301" i="40"/>
  <c r="F299" i="40"/>
  <c r="H298" i="40"/>
  <c r="F298" i="40"/>
  <c r="H296" i="40"/>
  <c r="E296" i="40"/>
  <c r="F296" i="40" s="1"/>
  <c r="H295" i="40"/>
  <c r="F295" i="40"/>
  <c r="E289" i="40"/>
  <c r="F289" i="40" s="1"/>
  <c r="F287" i="40"/>
  <c r="H286" i="40"/>
  <c r="E286" i="40"/>
  <c r="F286" i="40" s="1"/>
  <c r="H284" i="40"/>
  <c r="E284" i="40"/>
  <c r="F284" i="40" s="1"/>
  <c r="H283" i="40"/>
  <c r="F283" i="40"/>
  <c r="E277" i="40"/>
  <c r="F277" i="40" s="1"/>
  <c r="F275" i="40"/>
  <c r="H274" i="40"/>
  <c r="E274" i="40"/>
  <c r="F274" i="40" s="1"/>
  <c r="H272" i="40"/>
  <c r="F272" i="40"/>
  <c r="H271" i="40"/>
  <c r="F271" i="40"/>
  <c r="E267" i="40"/>
  <c r="F267" i="40" s="1"/>
  <c r="H266" i="40"/>
  <c r="E266" i="40"/>
  <c r="F266" i="40" s="1"/>
  <c r="E263" i="40"/>
  <c r="F263" i="40" s="1"/>
  <c r="H260" i="40"/>
  <c r="E260" i="40"/>
  <c r="F260" i="40" s="1"/>
  <c r="H258" i="40"/>
  <c r="F258" i="40"/>
  <c r="H257" i="40"/>
  <c r="F257" i="40"/>
  <c r="F254" i="40"/>
  <c r="H253" i="40"/>
  <c r="E253" i="40"/>
  <c r="F253" i="40" s="1"/>
  <c r="E250" i="40"/>
  <c r="F250" i="40" s="1"/>
  <c r="H247" i="40"/>
  <c r="E247" i="40"/>
  <c r="F247" i="40" s="1"/>
  <c r="H245" i="40"/>
  <c r="F245" i="40"/>
  <c r="H244" i="40"/>
  <c r="F244" i="40"/>
  <c r="F240" i="40"/>
  <c r="F239" i="40"/>
  <c r="F238" i="40"/>
  <c r="F235" i="40"/>
  <c r="F234" i="40"/>
  <c r="F233" i="40"/>
  <c r="F232" i="40"/>
  <c r="E226" i="40"/>
  <c r="F226" i="40" s="1"/>
  <c r="E225" i="40"/>
  <c r="F225" i="40" s="1"/>
  <c r="E224" i="40"/>
  <c r="F224" i="40" s="1"/>
  <c r="E223" i="40"/>
  <c r="F223" i="40" s="1"/>
  <c r="E222" i="40"/>
  <c r="F222" i="40" s="1"/>
  <c r="E221" i="40"/>
  <c r="F221" i="40" s="1"/>
  <c r="E220" i="40"/>
  <c r="F220" i="40" s="1"/>
  <c r="E216" i="40"/>
  <c r="F216" i="40" s="1"/>
  <c r="E215" i="40"/>
  <c r="F215" i="40" s="1"/>
  <c r="F214" i="40"/>
  <c r="E213" i="40"/>
  <c r="F213" i="40" s="1"/>
  <c r="F212" i="40"/>
  <c r="E209" i="40"/>
  <c r="F209" i="40" s="1"/>
  <c r="E208" i="40"/>
  <c r="F208" i="40" s="1"/>
  <c r="E207" i="40"/>
  <c r="F207" i="40" s="1"/>
  <c r="E206" i="40"/>
  <c r="F206" i="40" s="1"/>
  <c r="E200" i="40"/>
  <c r="F200" i="40" s="1"/>
  <c r="F199" i="40"/>
  <c r="E198" i="40"/>
  <c r="F198" i="40" s="1"/>
  <c r="E197" i="40"/>
  <c r="F197" i="40" s="1"/>
  <c r="E193" i="40"/>
  <c r="F193" i="40" s="1"/>
  <c r="E192" i="40"/>
  <c r="F192" i="40" s="1"/>
  <c r="E191" i="40"/>
  <c r="F191" i="40" s="1"/>
  <c r="E190" i="40"/>
  <c r="F190" i="40" s="1"/>
  <c r="F189" i="40"/>
  <c r="C184" i="40"/>
  <c r="H184" i="40" s="1"/>
  <c r="E183" i="40"/>
  <c r="E182" i="40"/>
  <c r="F363" i="40" s="1"/>
  <c r="C182" i="40"/>
  <c r="H182" i="40" s="1"/>
  <c r="E181" i="40"/>
  <c r="C181" i="40"/>
  <c r="H181" i="40" s="1"/>
  <c r="E180" i="40"/>
  <c r="C180" i="40"/>
  <c r="H180" i="40" s="1"/>
  <c r="C179" i="40"/>
  <c r="H179" i="40" s="1"/>
  <c r="C174" i="40"/>
  <c r="E173" i="40"/>
  <c r="E172" i="40"/>
  <c r="C172" i="40"/>
  <c r="H172" i="40" s="1"/>
  <c r="E171" i="40"/>
  <c r="C171" i="40"/>
  <c r="E170" i="40"/>
  <c r="C170" i="40"/>
  <c r="H170" i="40" s="1"/>
  <c r="C169" i="40"/>
  <c r="H169" i="40" s="1"/>
  <c r="E163" i="40"/>
  <c r="F163" i="40" s="1"/>
  <c r="E162" i="40"/>
  <c r="F162" i="40" s="1"/>
  <c r="E159" i="40"/>
  <c r="F159" i="40" s="1"/>
  <c r="F158" i="40"/>
  <c r="E157" i="40"/>
  <c r="F157" i="40" s="1"/>
  <c r="F156" i="40"/>
  <c r="E153" i="40"/>
  <c r="F153" i="40" s="1"/>
  <c r="E152" i="40"/>
  <c r="F152" i="40" s="1"/>
  <c r="F151" i="40"/>
  <c r="E150" i="40"/>
  <c r="F150" i="40" s="1"/>
  <c r="F149" i="40"/>
  <c r="F144" i="40"/>
  <c r="F143" i="40"/>
  <c r="E141" i="40"/>
  <c r="F141" i="40" s="1"/>
  <c r="E140" i="40"/>
  <c r="F140" i="40" s="1"/>
  <c r="F139" i="40"/>
  <c r="F136" i="40"/>
  <c r="F135" i="40"/>
  <c r="E133" i="40"/>
  <c r="F133" i="40" s="1"/>
  <c r="E132" i="40"/>
  <c r="F132" i="40" s="1"/>
  <c r="F131" i="40"/>
  <c r="F126" i="40"/>
  <c r="F125" i="40"/>
  <c r="F124" i="40"/>
  <c r="H120" i="40"/>
  <c r="H119" i="40"/>
  <c r="E119" i="40"/>
  <c r="F119" i="40" s="1"/>
  <c r="H118" i="40"/>
  <c r="F118" i="40"/>
  <c r="H117" i="40"/>
  <c r="E117" i="40"/>
  <c r="F117" i="40" s="1"/>
  <c r="C112" i="40"/>
  <c r="F112" i="40" s="1"/>
  <c r="C111" i="40"/>
  <c r="F111" i="40" s="1"/>
  <c r="C110" i="40"/>
  <c r="F110" i="40" s="1"/>
  <c r="F109" i="40"/>
  <c r="C108" i="40"/>
  <c r="F108" i="40" s="1"/>
  <c r="C107" i="40"/>
  <c r="F107" i="40" s="1"/>
  <c r="F100" i="40"/>
  <c r="E99" i="40"/>
  <c r="F99" i="40" s="1"/>
  <c r="E98" i="40"/>
  <c r="F98" i="40" s="1"/>
  <c r="F94" i="40"/>
  <c r="F93" i="40"/>
  <c r="F92" i="40"/>
  <c r="E91" i="40"/>
  <c r="F91" i="40" s="1"/>
  <c r="H86" i="40"/>
  <c r="F86" i="40"/>
  <c r="F85" i="40"/>
  <c r="F84" i="40"/>
  <c r="F83" i="40"/>
  <c r="F82" i="40"/>
  <c r="F81" i="40"/>
  <c r="F80" i="40"/>
  <c r="F79" i="40"/>
  <c r="F78" i="40"/>
  <c r="F74" i="40"/>
  <c r="F71" i="40"/>
  <c r="F70" i="40"/>
  <c r="F69" i="40"/>
  <c r="G68" i="40"/>
  <c r="F68" i="40"/>
  <c r="F67" i="40"/>
  <c r="F66" i="40"/>
  <c r="F65" i="40"/>
  <c r="F64" i="40"/>
  <c r="F63" i="40"/>
  <c r="F62" i="40"/>
  <c r="F61" i="40"/>
  <c r="F60" i="40"/>
  <c r="F59" i="40"/>
  <c r="F58" i="40"/>
  <c r="C52" i="40"/>
  <c r="H52" i="40" s="1"/>
  <c r="C50" i="40"/>
  <c r="H50" i="40" s="1"/>
  <c r="C49" i="40"/>
  <c r="F49" i="40" s="1"/>
  <c r="E48" i="40"/>
  <c r="C48" i="40"/>
  <c r="H48" i="40" s="1"/>
  <c r="C47" i="40"/>
  <c r="H47" i="40" s="1"/>
  <c r="F44" i="40"/>
  <c r="F43" i="40"/>
  <c r="F42" i="40"/>
  <c r="F38" i="40"/>
  <c r="F39" i="40" s="1"/>
  <c r="E34" i="40"/>
  <c r="F34" i="40" s="1"/>
  <c r="E33" i="40"/>
  <c r="F33" i="40" s="1"/>
  <c r="E27" i="40"/>
  <c r="F27" i="40" s="1"/>
  <c r="F26" i="40"/>
  <c r="H22" i="40"/>
  <c r="G22" i="40"/>
  <c r="F22" i="40"/>
  <c r="H21" i="40"/>
  <c r="G21" i="40"/>
  <c r="F21" i="40"/>
  <c r="H20" i="40"/>
  <c r="G20" i="40"/>
  <c r="F20" i="40"/>
  <c r="E15" i="40"/>
  <c r="F15" i="40" s="1"/>
  <c r="E14" i="40"/>
  <c r="F14" i="40" s="1"/>
  <c r="E9" i="40"/>
  <c r="E35" i="40" s="1"/>
  <c r="F35" i="40" s="1"/>
  <c r="F8" i="40"/>
  <c r="F7" i="40"/>
  <c r="F6" i="40"/>
  <c r="F48" i="40" l="1"/>
  <c r="F422" i="40"/>
  <c r="C173" i="40"/>
  <c r="F9" i="40"/>
  <c r="F10" i="40" s="1"/>
  <c r="H390" i="40"/>
  <c r="H121" i="40"/>
  <c r="H122" i="40" s="1"/>
  <c r="H396" i="40"/>
  <c r="F171" i="40"/>
  <c r="F375" i="40"/>
  <c r="C427" i="40"/>
  <c r="F427" i="40" s="1"/>
  <c r="H427" i="40" s="1"/>
  <c r="F172" i="40"/>
  <c r="E28" i="40"/>
  <c r="F28" i="40" s="1"/>
  <c r="F29" i="40" s="1"/>
  <c r="H268" i="40"/>
  <c r="H171" i="40"/>
  <c r="H175" i="40" s="1"/>
  <c r="H176" i="40" s="1"/>
  <c r="H369" i="40"/>
  <c r="H370" i="40" s="1"/>
  <c r="F376" i="40"/>
  <c r="H304" i="40"/>
  <c r="H255" i="40"/>
  <c r="E32" i="40"/>
  <c r="F32" i="40" s="1"/>
  <c r="F36" i="40" s="1"/>
  <c r="F201" i="40"/>
  <c r="F75" i="40"/>
  <c r="F210" i="40"/>
  <c r="H381" i="40"/>
  <c r="G23" i="40"/>
  <c r="F72" i="40"/>
  <c r="H280" i="40"/>
  <c r="F348" i="40"/>
  <c r="H386" i="40"/>
  <c r="H387" i="40" s="1"/>
  <c r="H185" i="40"/>
  <c r="H186" i="40" s="1"/>
  <c r="H292" i="40"/>
  <c r="H392" i="40"/>
  <c r="H393" i="40" s="1"/>
  <c r="F95" i="40"/>
  <c r="F170" i="40"/>
  <c r="F280" i="40"/>
  <c r="E16" i="40"/>
  <c r="F16" i="40" s="1"/>
  <c r="F17" i="40" s="1"/>
  <c r="E127" i="40"/>
  <c r="F127" i="40" s="1"/>
  <c r="F128" i="40" s="1"/>
  <c r="E134" i="40"/>
  <c r="F134" i="40" s="1"/>
  <c r="F137" i="40" s="1"/>
  <c r="E101" i="40"/>
  <c r="F101" i="40" s="1"/>
  <c r="F102" i="40" s="1"/>
  <c r="E164" i="40"/>
  <c r="F164" i="40" s="1"/>
  <c r="F165" i="40" s="1"/>
  <c r="F368" i="40" s="1"/>
  <c r="E142" i="40"/>
  <c r="F142" i="40" s="1"/>
  <c r="F146" i="40" s="1"/>
  <c r="H23" i="40"/>
  <c r="H49" i="40"/>
  <c r="H53" i="40" s="1"/>
  <c r="H54" i="40" s="1"/>
  <c r="N81" i="34" s="1"/>
  <c r="F87" i="40"/>
  <c r="F217" i="40"/>
  <c r="F304" i="40"/>
  <c r="F384" i="40"/>
  <c r="F413" i="40"/>
  <c r="F255" i="40"/>
  <c r="L200" i="34"/>
  <c r="P292" i="34"/>
  <c r="O86" i="34"/>
  <c r="F340" i="40"/>
  <c r="F335" i="40"/>
  <c r="F241" i="40"/>
  <c r="F194" i="40"/>
  <c r="F145" i="40"/>
  <c r="F147" i="40" s="1"/>
  <c r="F121" i="40"/>
  <c r="F122" i="40" s="1"/>
  <c r="G72" i="40"/>
  <c r="F173" i="40"/>
  <c r="F45" i="40"/>
  <c r="F329" i="40"/>
  <c r="F113" i="40"/>
  <c r="F114" i="40" s="1"/>
  <c r="F23" i="40"/>
  <c r="F154" i="40"/>
  <c r="F367" i="40" s="1"/>
  <c r="F160" i="40"/>
  <c r="F292" i="40"/>
  <c r="F268" i="40"/>
  <c r="F322" i="40"/>
  <c r="H402" i="40"/>
  <c r="H403" i="40" s="1"/>
  <c r="C51" i="40"/>
  <c r="F51" i="40" s="1"/>
  <c r="G87" i="40"/>
  <c r="H174" i="40"/>
  <c r="C183" i="40"/>
  <c r="F183" i="40" s="1"/>
  <c r="E228" i="40"/>
  <c r="F228" i="40" s="1"/>
  <c r="E361" i="40"/>
  <c r="F361" i="40" s="1"/>
  <c r="F366" i="40"/>
  <c r="C426" i="40"/>
  <c r="F426" i="40" s="1"/>
  <c r="H426" i="40" s="1"/>
  <c r="F365" i="40"/>
  <c r="F50" i="40"/>
  <c r="F180" i="40"/>
  <c r="F181" i="40"/>
  <c r="F182" i="40"/>
  <c r="E227" i="40"/>
  <c r="F227" i="40" s="1"/>
  <c r="F397" i="40"/>
  <c r="F425" i="40"/>
  <c r="E380" i="40" l="1"/>
  <c r="F380" i="40" s="1"/>
  <c r="E47" i="40"/>
  <c r="F47" i="40" s="1"/>
  <c r="E169" i="40"/>
  <c r="H371" i="40"/>
  <c r="O129" i="34"/>
  <c r="E385" i="40"/>
  <c r="F385" i="40" s="1"/>
  <c r="F386" i="40" s="1"/>
  <c r="F387" i="40" s="1"/>
  <c r="E391" i="40"/>
  <c r="E399" i="40" s="1"/>
  <c r="F399" i="40" s="1"/>
  <c r="F369" i="40"/>
  <c r="F370" i="40" s="1"/>
  <c r="F229" i="40"/>
  <c r="N113" i="34"/>
  <c r="E428" i="40"/>
  <c r="F428" i="40" s="1"/>
  <c r="N129" i="34"/>
  <c r="L129" i="34"/>
  <c r="M200" i="34"/>
  <c r="N200" i="34"/>
  <c r="O200" i="34"/>
  <c r="O43" i="34"/>
  <c r="O64" i="34"/>
  <c r="M43" i="34"/>
  <c r="L43" i="34"/>
  <c r="L86" i="34"/>
  <c r="E379" i="40"/>
  <c r="F379" i="40" s="1"/>
  <c r="F381" i="40" s="1"/>
  <c r="E52" i="40"/>
  <c r="F52" i="40" s="1"/>
  <c r="F53" i="40" s="1"/>
  <c r="F54" i="40" s="1"/>
  <c r="L81" i="34" s="1"/>
  <c r="E174" i="40"/>
  <c r="F174" i="40" s="1"/>
  <c r="E184" i="40"/>
  <c r="F184" i="40" s="1"/>
  <c r="F429" i="40"/>
  <c r="H429" i="40" s="1"/>
  <c r="H430" i="40" s="1"/>
  <c r="H431" i="40" s="1"/>
  <c r="M86" i="34" l="1"/>
  <c r="L134" i="34"/>
  <c r="E179" i="40"/>
  <c r="F179" i="40" s="1"/>
  <c r="F185" i="40" s="1"/>
  <c r="F186" i="40" s="1"/>
  <c r="F169" i="40"/>
  <c r="F175" i="40" s="1"/>
  <c r="F176" i="40" s="1"/>
  <c r="L64" i="34"/>
  <c r="E400" i="40"/>
  <c r="F400" i="40" s="1"/>
  <c r="F391" i="40"/>
  <c r="F392" i="40" s="1"/>
  <c r="F393" i="40" s="1"/>
  <c r="E401" i="40"/>
  <c r="F401" i="40" s="1"/>
  <c r="O152" i="34"/>
  <c r="N152" i="34"/>
  <c r="F430" i="40"/>
  <c r="F431" i="40" s="1"/>
  <c r="N188" i="34"/>
  <c r="M129" i="34"/>
  <c r="P86" i="34"/>
  <c r="L101" i="34"/>
  <c r="P43" i="34"/>
  <c r="F371" i="40"/>
  <c r="F402" i="40" l="1"/>
  <c r="F403" i="40" s="1"/>
  <c r="M64" i="34"/>
  <c r="L188" i="34"/>
  <c r="M152" i="34"/>
  <c r="L152" i="34"/>
  <c r="P129" i="34"/>
  <c r="P200" i="34"/>
  <c r="P64" i="34"/>
  <c r="P152" i="34" l="1"/>
  <c r="C81" i="34"/>
  <c r="F81" i="34" l="1"/>
  <c r="F94" i="34" s="1"/>
  <c r="F95" i="34" s="1"/>
  <c r="H81" i="34"/>
  <c r="O81" i="34"/>
  <c r="H94" i="34" l="1"/>
  <c r="H95" i="34" s="1"/>
  <c r="I81" i="34"/>
  <c r="C133" i="34"/>
  <c r="I94" i="34" l="1"/>
  <c r="I95" i="34" s="1"/>
  <c r="I10" i="34"/>
  <c r="F133" i="34"/>
  <c r="H133" i="34"/>
  <c r="O134" i="34"/>
  <c r="C103" i="34"/>
  <c r="I133" i="34" l="1"/>
  <c r="I15" i="34" s="1"/>
  <c r="H103" i="34"/>
  <c r="O113" i="34" s="1"/>
  <c r="F103" i="34"/>
  <c r="M134" i="34"/>
  <c r="I103" i="34" l="1"/>
  <c r="I13" i="34" s="1"/>
  <c r="P134" i="34"/>
  <c r="M113" i="34"/>
  <c r="P113" i="34" l="1"/>
  <c r="M81" i="34" l="1"/>
  <c r="P81" i="34" l="1"/>
  <c r="C188" i="34"/>
  <c r="C180" i="34"/>
  <c r="C179" i="34"/>
  <c r="F179" i="34" s="1"/>
  <c r="C187" i="34"/>
  <c r="F187" i="34" s="1"/>
  <c r="C185" i="34"/>
  <c r="H185" i="34" s="1"/>
  <c r="I185" i="34" s="1"/>
  <c r="H187" i="34" l="1"/>
  <c r="I187" i="34" s="1"/>
  <c r="H179" i="34"/>
  <c r="H180" i="34"/>
  <c r="F180" i="34"/>
  <c r="F188" i="34"/>
  <c r="H188" i="34"/>
  <c r="C171" i="34"/>
  <c r="C170" i="34"/>
  <c r="C167" i="34"/>
  <c r="C166" i="34"/>
  <c r="C165" i="34"/>
  <c r="I188" i="34" l="1"/>
  <c r="H166" i="34"/>
  <c r="F166" i="34"/>
  <c r="F167" i="34"/>
  <c r="H167" i="34"/>
  <c r="I167" i="34" s="1"/>
  <c r="F170" i="34"/>
  <c r="H170" i="34"/>
  <c r="I170" i="34" s="1"/>
  <c r="H171" i="34"/>
  <c r="F171" i="34"/>
  <c r="I180" i="34"/>
  <c r="I179" i="34"/>
  <c r="F165" i="34"/>
  <c r="H165" i="34"/>
  <c r="C101" i="34"/>
  <c r="I165" i="34" l="1"/>
  <c r="I171" i="34"/>
  <c r="F101" i="34"/>
  <c r="F123" i="34" s="1"/>
  <c r="F124" i="34" s="1"/>
  <c r="F153" i="34" s="1"/>
  <c r="F154" i="34" s="1"/>
  <c r="F182" i="34" s="1"/>
  <c r="F183" i="34" s="1"/>
  <c r="F212" i="34" s="1"/>
  <c r="F213" i="34" s="1"/>
  <c r="F244" i="34" s="1"/>
  <c r="F245" i="34" s="1"/>
  <c r="F276" i="34" s="1"/>
  <c r="F277" i="34" s="1"/>
  <c r="F305" i="34" s="1"/>
  <c r="H101" i="34"/>
  <c r="I166" i="34"/>
  <c r="O188" i="34"/>
  <c r="M188" i="34"/>
  <c r="O101" i="34"/>
  <c r="I17" i="34" l="1"/>
  <c r="I101" i="34"/>
  <c r="H123" i="34"/>
  <c r="H124" i="34" s="1"/>
  <c r="H153" i="34" s="1"/>
  <c r="H154" i="34" s="1"/>
  <c r="H182" i="34" s="1"/>
  <c r="H183" i="34" s="1"/>
  <c r="H212" i="34" s="1"/>
  <c r="H213" i="34" s="1"/>
  <c r="H244" i="34" s="1"/>
  <c r="H245" i="34" s="1"/>
  <c r="H276" i="34" s="1"/>
  <c r="H277" i="34" s="1"/>
  <c r="H305" i="34" s="1"/>
  <c r="P188" i="34"/>
  <c r="M101" i="34"/>
  <c r="I123" i="34" l="1"/>
  <c r="I124" i="34" s="1"/>
  <c r="I153" i="34" s="1"/>
  <c r="I154" i="34" s="1"/>
  <c r="I182" i="34" s="1"/>
  <c r="I183" i="34" s="1"/>
  <c r="I212" i="34" s="1"/>
  <c r="I213" i="34" s="1"/>
  <c r="I244" i="34" s="1"/>
  <c r="I245" i="34" s="1"/>
  <c r="I276" i="34" s="1"/>
  <c r="I277" i="34" s="1"/>
  <c r="I305" i="34" s="1"/>
  <c r="I12" i="34"/>
  <c r="P101" i="34"/>
  <c r="I35" i="34" l="1"/>
  <c r="P19" i="34"/>
  <c r="J12" i="34" l="1"/>
  <c r="C12" i="14"/>
  <c r="C9" i="41" s="1"/>
  <c r="C12" i="41" s="1"/>
  <c r="D12" i="41" s="1"/>
  <c r="J10" i="34"/>
  <c r="J21" i="34"/>
  <c r="J19" i="34"/>
  <c r="J20" i="34"/>
  <c r="J9" i="34"/>
  <c r="J17" i="34"/>
  <c r="J16" i="34"/>
  <c r="J15" i="34"/>
  <c r="J8" i="34"/>
  <c r="J18" i="34"/>
  <c r="J11" i="34"/>
  <c r="J14" i="34"/>
  <c r="J13" i="34"/>
  <c r="D5" i="42" l="1"/>
  <c r="J35" i="34"/>
  <c r="C13" i="41"/>
  <c r="D13" i="41" s="1"/>
  <c r="E13" i="41" s="1"/>
  <c r="C17" i="41" s="1"/>
  <c r="G12" i="14" s="1"/>
  <c r="E12" i="41"/>
  <c r="C16" i="41" s="1"/>
  <c r="C9" i="42" l="1"/>
  <c r="C8" i="42" l="1"/>
  <c r="C12" i="42" s="1"/>
  <c r="C10" i="42" l="1"/>
  <c r="C13" i="42" s="1"/>
  <c r="C14" i="42" s="1"/>
  <c r="D12" i="14" s="1"/>
  <c r="E12" i="14" s="1"/>
  <c r="E17" i="14" s="1"/>
  <c r="E18" i="14" s="1"/>
  <c r="C16" i="42" l="1"/>
  <c r="B18" i="1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COM30</author>
    <author>Aran_PC</author>
    <author>user</author>
  </authors>
  <commentList>
    <comment ref="E7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ราคา กรุงเทพฯ</t>
        </r>
      </text>
    </comment>
    <comment ref="E7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ราคา กรุงเทพฯ</t>
        </r>
      </text>
    </comment>
    <comment ref="E73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ขนาด 8 นิ้ว</t>
        </r>
      </text>
    </comment>
    <comment ref="E75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ราคา กทม</t>
        </r>
      </text>
    </comment>
    <comment ref="E7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ราคา กทม</t>
        </r>
      </text>
    </comment>
    <comment ref="C108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บุผนังกระเบื้อง สูง2.40ม</t>
        </r>
      </text>
    </comment>
    <comment ref="E138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ต้องสืบราคาท้องตลาดท้องถิ่นเพิ่มเติม</t>
        </r>
      </text>
    </comment>
    <comment ref="E242" authorId="2" shapeId="0" xr:uid="{007787B5-799E-476F-BE71-8B23813BD8A7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คิดร้อยละ15ของวัสดุ</t>
        </r>
      </text>
    </comment>
    <comment ref="G242" authorId="2" shapeId="0" xr:uid="{E24D3977-FCBA-4365-999B-17074BA6EE9E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คิดร้อยละ15ของแรงงาน</t>
        </r>
      </text>
    </comment>
    <comment ref="E257" authorId="2" shapeId="0" xr:uid="{9ED52E4E-221A-4982-AD84-43D5453629BA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คิดร้อยละ5ของค่าวัสดุ</t>
        </r>
      </text>
    </comment>
    <comment ref="G257" authorId="2" shapeId="0" xr:uid="{BB083534-62E2-451B-9EEC-56F80E7378A2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คิดร้อยละ5ค่าแรง</t>
        </r>
      </text>
    </comment>
    <comment ref="E317" authorId="2" shapeId="0" xr:uid="{00000000-0006-0000-0000-00000E00000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คิดร้อยละ15ของวัสดุ</t>
        </r>
      </text>
    </comment>
    <comment ref="G317" authorId="2" shapeId="0" xr:uid="{00000000-0006-0000-0000-00000F00000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คิดร้อยละ15ของแรงงาน</t>
        </r>
      </text>
    </comment>
    <comment ref="E330" authorId="2" shapeId="0" xr:uid="{00000000-0006-0000-0000-00001000000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คิดร้อยละ5ของค่าวัสดุ</t>
        </r>
      </text>
    </comment>
    <comment ref="G330" authorId="2" shapeId="0" xr:uid="{00000000-0006-0000-0000-00001100000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คิดร้อยละ5ค่าแรง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Aran_PC</author>
    <author>COM30</author>
  </authors>
  <commentList>
    <comment ref="B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มอก80/2517 เป็นปูนปอร์ตแลนน์</t>
        </r>
      </text>
    </comment>
    <comment ref="B1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มอก80/2517 เป็นปูนปอร์ตแลนน์</t>
        </r>
      </text>
    </comment>
    <comment ref="B32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มอก80/2517 เป็นปูนปอร์ตแลนน์</t>
        </r>
      </text>
    </comment>
    <comment ref="E47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ไม้แบบที่ราคา50%คิดราคาไม้แบบให้10%</t>
        </r>
      </text>
    </comment>
    <comment ref="F56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รายละเอียดจากคู่มือติดตั้งระบบงานยิปซัม</t>
        </r>
      </text>
    </comment>
    <comment ref="E74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กทม
</t>
        </r>
      </text>
    </comment>
    <comment ref="B91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ขนาด 1.20 x 2.40 ม.</t>
        </r>
      </text>
    </comment>
    <comment ref="B97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รายละเอียดจากคู่มือติดตั้งระบบงานยิปซั่ม</t>
        </r>
      </text>
    </comment>
    <comment ref="B112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ขนาด0.90x30มราคา 670บาท</t>
        </r>
      </text>
    </comment>
    <comment ref="E131" authorId="1" shapeId="0" xr:uid="{00000000-0006-0000-0300-00000B000000}">
      <text>
        <r>
          <rPr>
            <b/>
            <sz val="9"/>
            <color indexed="81"/>
            <rFont val="Tahoma"/>
            <family val="2"/>
          </rPr>
          <t>COM30:</t>
        </r>
        <r>
          <rPr>
            <sz val="9"/>
            <color indexed="81"/>
            <rFont val="Tahoma"/>
            <family val="2"/>
          </rPr>
          <t xml:space="preserve">
ราคากระเบื้องหินขัดปูพื้น 
กทม  ราคาแผ่นละ 26.5 บาท</t>
        </r>
      </text>
    </comment>
    <comment ref="B231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รายละอียดจากคู่มือติดตั้งระบบงานยิปซัม</t>
        </r>
      </text>
    </comment>
    <comment ref="B375" authorId="0" shapeId="0" xr:uid="{00000000-0006-0000-0300-00000F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หนา 2.3 มม หนัก3.30กก/ม</t>
        </r>
      </text>
    </comment>
    <comment ref="B376" authorId="0" shapeId="0" xr:uid="{00000000-0006-0000-0300-000010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หนา 2.0มม หนัก2.63กก/ม</t>
        </r>
      </text>
    </comment>
    <comment ref="C384" authorId="0" shapeId="0" xr:uid="{00000000-0006-0000-0300-000011000000}">
      <text>
        <r>
          <rPr>
            <b/>
            <sz val="9"/>
            <color indexed="81"/>
            <rFont val="Tahoma"/>
            <family val="2"/>
          </rPr>
          <t>Aran_PC:ใช้ท่อเหล็กจำนวน 6เส้นเผื่อเสียหายแล้ว3%คิดเป็น น.น=6*5.08*6=182.88กก</t>
        </r>
      </text>
    </comment>
    <comment ref="E384" authorId="0" shapeId="0" xr:uid="{00000000-0006-0000-0300-000012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 พานิชย์จังหวัด เหล็ก 2 1/2นิ้วหนา 3.0มม ราคาท่อนละ745.20 บาทราคากก.ละ=745.20/5.42/6 =22.92บาท</t>
        </r>
      </text>
    </comment>
    <comment ref="G384" authorId="0" shapeId="0" xr:uid="{00000000-0006-0000-0300-000013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นน.เหล็ก คูน ค่าแรงเชื่อมเหล็กรูปพรรณ คิดค่าแรงที่ 6.50บาท</t>
        </r>
      </text>
    </comment>
    <comment ref="H384" authorId="0" shapeId="0" xr:uid="{00000000-0006-0000-0300-000014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นน.เหล็ก คูน ค่าแรงเชื่อมเหล็กรูปพรรณ คิดค่าแรงที่ 6.50บาท</t>
        </r>
      </text>
    </comment>
    <comment ref="C390" authorId="0" shapeId="0" xr:uid="{00000000-0006-0000-0300-000015000000}">
      <text>
        <r>
          <rPr>
            <b/>
            <sz val="9"/>
            <color indexed="81"/>
            <rFont val="Tahoma"/>
            <family val="2"/>
          </rPr>
          <t>Aran_PC:ใช้ท่อเหล็กจำนวน 35เส้นเผื่อเสียหายแล้ว3%คิดเป็น น.น=35*5.08*6=1066.80กก</t>
        </r>
      </text>
    </comment>
    <comment ref="E390" authorId="0" shapeId="0" xr:uid="{00000000-0006-0000-0300-000016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 พานิชย์จังหวัด เหล็ก 2 1/2นิ้วหนา 3.0มม ราคาท่อนละ745.20 บาทราคากก.ละ=745.20/5.42/6 =22.92บาท</t>
        </r>
      </text>
    </comment>
    <comment ref="C396" authorId="0" shapeId="0" xr:uid="{00000000-0006-0000-0300-000017000000}">
      <text>
        <r>
          <rPr>
            <b/>
            <sz val="9"/>
            <color indexed="81"/>
            <rFont val="Tahoma"/>
            <family val="2"/>
          </rPr>
          <t>Aran_PC:ใช้ท่อเหล็กจำนวน 9เส้นเผื่อเสียหายแล้ว3%คิดเป็น น.น=9*5.08*6=274.32กก</t>
        </r>
      </text>
    </comment>
    <comment ref="E396" authorId="0" shapeId="0" xr:uid="{00000000-0006-0000-0300-000018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 พานิชย์จังหวัด เหล็ก 2 1/2นิ้วหนา 3.0มม ราคาท่อนละ745.20 บาทราคากก.ละ=745.20/5.42/6 =22.92บาท</t>
        </r>
      </text>
    </comment>
    <comment ref="C397" authorId="0" shapeId="0" xr:uid="{00000000-0006-0000-0300-000019000000}">
      <text>
        <r>
          <rPr>
            <b/>
            <sz val="9"/>
            <color indexed="81"/>
            <rFont val="Tahoma"/>
            <family val="2"/>
          </rPr>
          <t>Aran_PC:ใช้ท่อเหล็กจำนวน 6 เส้นเผื่อเสียหายแล้ว3%คิดเป็น น.น=6*3.33*6=119.88กก</t>
        </r>
      </text>
    </comment>
    <comment ref="E397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 พานิชย์จังหวัด เหล็ก 2 1/2นิ้วหนา 3.0มม ราคาท่อนละ745.20 บาทราคากก.ละ=745.20/5.42/6 =22.92บาท</t>
        </r>
      </text>
    </comment>
    <comment ref="C398" authorId="0" shapeId="0" xr:uid="{00000000-0006-0000-0300-00001B000000}">
      <text>
        <r>
          <rPr>
            <b/>
            <sz val="9"/>
            <color indexed="81"/>
            <rFont val="Tahoma"/>
            <family val="2"/>
          </rPr>
          <t>Aran_PC:ใช้ท่อเหล็กจำนวน 7เส้นเผื่อเสียหายแล้ว3%คิดเป็น น.น=7*2.63*6=110.46กก</t>
        </r>
      </text>
    </comment>
    <comment ref="E398" authorId="0" shapeId="0" xr:uid="{00000000-0006-0000-0300-00001C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 พานิชย์จังหวัด เหล็ก 2 1/2นิ้วหนา 3.0มม ราคาท่อนละ745.20 บาทราคากก.ละ=745.20/5.42/6 =22.92บาท</t>
        </r>
      </text>
    </comment>
    <comment ref="E413" authorId="0" shapeId="0" xr:uid="{00000000-0006-0000-0300-00001D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ราคาเหล็กกล่อง1นิ้วหนา2.3=25.03บาท/กกxนน.1.53xยาว6ม  </t>
        </r>
      </text>
    </comment>
    <comment ref="E422" authorId="0" shapeId="0" xr:uid="{00000000-0006-0000-0300-00001E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ราคาเหล็กกล่อง1นิ้วหนา2.3=25.03บาท/กกxนน.1.53xยาว6ม  </t>
        </r>
      </text>
    </comment>
    <comment ref="B425" authorId="0" shapeId="0" xr:uid="{00000000-0006-0000-0300-00001F000000}">
      <text>
        <r>
          <rPr>
            <b/>
            <sz val="9"/>
            <color indexed="81"/>
            <rFont val="Tahoma"/>
            <family val="2"/>
          </rPr>
          <t>Aran_PC:</t>
        </r>
        <r>
          <rPr>
            <sz val="9"/>
            <color indexed="81"/>
            <rFont val="Tahoma"/>
            <family val="2"/>
          </rPr>
          <t xml:space="preserve">
หนัก1.53กก/มราคาท่อนละ230บาท กก.ละ=230/1.53/6=25.05บ/กก</t>
        </r>
      </text>
    </comment>
  </commentList>
</comments>
</file>

<file path=xl/sharedStrings.xml><?xml version="1.0" encoding="utf-8"?>
<sst xmlns="http://schemas.openxmlformats.org/spreadsheetml/2006/main" count="1629" uniqueCount="679">
  <si>
    <t>ขุดดิน</t>
  </si>
  <si>
    <t xml:space="preserve"> </t>
  </si>
  <si>
    <t>ที่</t>
  </si>
  <si>
    <t>สำนักงานคณะกรรมการการอาชีวศึกษา</t>
  </si>
  <si>
    <t>ลำดับที่</t>
  </si>
  <si>
    <t>รายการ</t>
  </si>
  <si>
    <t>หน่วย</t>
  </si>
  <si>
    <t xml:space="preserve">               ราคาวัสดุ</t>
  </si>
  <si>
    <t>รวมค่าวัสดุ</t>
  </si>
  <si>
    <t>หมายเหตุ</t>
  </si>
  <si>
    <t>ราคาหน่วยละ</t>
  </si>
  <si>
    <t>จำนวนเงิน</t>
  </si>
  <si>
    <t>และค่าแรงงาน</t>
  </si>
  <si>
    <t>สรุปงานก่อสร้าง</t>
  </si>
  <si>
    <t>รวม</t>
  </si>
  <si>
    <t>รวมราคาวัสดุและแรงงานเป็นเงินประมาณ</t>
  </si>
  <si>
    <t>จุด</t>
  </si>
  <si>
    <t>ลบ.ม</t>
  </si>
  <si>
    <t>ตัน</t>
  </si>
  <si>
    <t>ตรม</t>
  </si>
  <si>
    <t>กก</t>
  </si>
  <si>
    <t>รวมยอดยกไป</t>
  </si>
  <si>
    <t>รวมยอดยกมา</t>
  </si>
  <si>
    <t>กก.</t>
  </si>
  <si>
    <t>ตร.ม.</t>
  </si>
  <si>
    <t>ม</t>
  </si>
  <si>
    <t>ตัว</t>
  </si>
  <si>
    <t>ชุด</t>
  </si>
  <si>
    <t>โครงml50</t>
  </si>
  <si>
    <t>ท่อน</t>
  </si>
  <si>
    <t>ตัวต่อโครง</t>
  </si>
  <si>
    <t>ฉากริม</t>
  </si>
  <si>
    <t>ตัวล๊อคโครง</t>
  </si>
  <si>
    <t>ชิ้น</t>
  </si>
  <si>
    <t>ชุดหิ้วโครง</t>
  </si>
  <si>
    <t>พุก6มม</t>
  </si>
  <si>
    <t>ฉากเหล็ก2รู</t>
  </si>
  <si>
    <t>สปริงปรับระดับ</t>
  </si>
  <si>
    <t>สกรูยิบซั่ม</t>
  </si>
  <si>
    <t>แผ่นยิบซั่ม</t>
  </si>
  <si>
    <t>ม้วน</t>
  </si>
  <si>
    <t>สีโป๊ว</t>
  </si>
  <si>
    <t>ปูนฉาบ</t>
  </si>
  <si>
    <t>ถุง</t>
  </si>
  <si>
    <t>gl</t>
  </si>
  <si>
    <t>น้ำผสมสี</t>
  </si>
  <si>
    <t>ล</t>
  </si>
  <si>
    <t>เมนที</t>
  </si>
  <si>
    <t>ครอสที 60</t>
  </si>
  <si>
    <t>สีน้ำมัน</t>
  </si>
  <si>
    <t>ขอหิ้วทีบาร์</t>
  </si>
  <si>
    <t>น้ำมันผสมสี</t>
  </si>
  <si>
    <t>สีกันสนิม</t>
  </si>
  <si>
    <t>ทารองพื้น</t>
  </si>
  <si>
    <t>ทาเคลือบ</t>
  </si>
  <si>
    <t>ฝ้าทีบาร์แผ่นเรียบ</t>
  </si>
  <si>
    <t>สรุป</t>
  </si>
  <si>
    <t>ทรายหยาบ</t>
  </si>
  <si>
    <t>ลบม</t>
  </si>
  <si>
    <t>ปูนซีเมนต์ผสม</t>
  </si>
  <si>
    <t>หิน 1-2</t>
  </si>
  <si>
    <t>น้ำผสมคอนกรีต</t>
  </si>
  <si>
    <t>ลิตร</t>
  </si>
  <si>
    <t>ทรายละเอียด</t>
  </si>
  <si>
    <t>น้ำผสมปูน</t>
  </si>
  <si>
    <t>คอนกรีต 124</t>
  </si>
  <si>
    <t>ลวดผูกเหล็ก</t>
  </si>
  <si>
    <t>พื้นขัดมันผสมกันซึม</t>
  </si>
  <si>
    <t>ก้อน</t>
  </si>
  <si>
    <t>น้ำยากันซึม</t>
  </si>
  <si>
    <t>ลบฟ</t>
  </si>
  <si>
    <t>ตะปู</t>
  </si>
  <si>
    <t>แผ่น</t>
  </si>
  <si>
    <t>set</t>
  </si>
  <si>
    <t>Lot</t>
  </si>
  <si>
    <t>แบบ ปร.5</t>
  </si>
  <si>
    <t>ค่าวัสดุและค่าแรงงาน</t>
  </si>
  <si>
    <t>Factor F</t>
  </si>
  <si>
    <t>รวมค่าก่อสร้าง</t>
  </si>
  <si>
    <t>เป็นเงิน/บาท</t>
  </si>
  <si>
    <t>ประเภทงานอาคาร</t>
  </si>
  <si>
    <t>โครงคร่าวตั้งซีสตัด</t>
  </si>
  <si>
    <t>โครงคร่าวนอนยูแทรค</t>
  </si>
  <si>
    <t>ปูนฉาบรอยต่อ</t>
  </si>
  <si>
    <t>จำนวน</t>
  </si>
  <si>
    <t>คอนกรีต</t>
  </si>
  <si>
    <t>ไม้แบบ</t>
  </si>
  <si>
    <t>ตร.ม</t>
  </si>
  <si>
    <t>ต้น</t>
  </si>
  <si>
    <t>กันซึม240</t>
  </si>
  <si>
    <t>หน่วยงานออกแบบแปลนและรายการ   สำนักงานคณะกรรมการการอาชีวศึกษา</t>
  </si>
  <si>
    <t>ส่วนราชการ สำนักงานคณะกรรมการการอาชีวศึกษา</t>
  </si>
  <si>
    <t>วัสดุ</t>
  </si>
  <si>
    <t>ม.</t>
  </si>
  <si>
    <t>- เงินล่วงหน้าจ่าย - %</t>
  </si>
  <si>
    <t>- เงินประกันผลงานหัก - %</t>
  </si>
  <si>
    <t>- ค่าภาษีมูลค่าเพิ่ม 7 %</t>
  </si>
  <si>
    <t xml:space="preserve">  ค่าแรงงาน</t>
  </si>
  <si>
    <t>งานดินและงานฐานราก</t>
  </si>
  <si>
    <t>งานโครงสร้าง</t>
  </si>
  <si>
    <t>งานหลังคา</t>
  </si>
  <si>
    <t>งานฝ้าเพดาน</t>
  </si>
  <si>
    <t>งานทำผิวพื้น</t>
  </si>
  <si>
    <t>งานปูนและงานตกแต่งผนัง</t>
  </si>
  <si>
    <t>งานประตูหน้าต่าง</t>
  </si>
  <si>
    <t>งานสี</t>
  </si>
  <si>
    <t>งานสุขภัณฑ์</t>
  </si>
  <si>
    <t>งานเบ็ดเตล็ด</t>
  </si>
  <si>
    <t>งานระบบสุขาภิบาลอาคาร</t>
  </si>
  <si>
    <t>เจาะสำรวจชั้นดิน</t>
  </si>
  <si>
    <t>คอนกรีตหยาบรองก้นฐานราก</t>
  </si>
  <si>
    <t>1.5.1</t>
  </si>
  <si>
    <t>ตัดหัวเสาเข็ม</t>
  </si>
  <si>
    <t>เหล็ก SR24 Dai 6 มม.</t>
  </si>
  <si>
    <t>เหล็ก SR24 Dai 9 มม.</t>
  </si>
  <si>
    <t>ลวดผูกเหล็ก เบอร์ 18</t>
  </si>
  <si>
    <t>2.2.1</t>
  </si>
  <si>
    <t>2.2.2</t>
  </si>
  <si>
    <t>2.2.3</t>
  </si>
  <si>
    <t>2.2.4</t>
  </si>
  <si>
    <t>2.2.5</t>
  </si>
  <si>
    <t>2.3.1</t>
  </si>
  <si>
    <t>2.3.2</t>
  </si>
  <si>
    <t>2.3.3</t>
  </si>
  <si>
    <t>2.3.5</t>
  </si>
  <si>
    <t>2.3.6</t>
  </si>
  <si>
    <t>2.3.7</t>
  </si>
  <si>
    <t>2.4.1</t>
  </si>
  <si>
    <t>2.4.2</t>
  </si>
  <si>
    <t>2.4.3</t>
  </si>
  <si>
    <t>ฝ้าฉาบปูนเรียบ</t>
  </si>
  <si>
    <t>กระจกใส 5 มม.</t>
  </si>
  <si>
    <t>กระจกฝ้า 5 มม.</t>
  </si>
  <si>
    <t>ท่อขนาด Ø1/2"</t>
  </si>
  <si>
    <t>ท่อขนาด Ø3/4"</t>
  </si>
  <si>
    <t>ท่อขนาด Ø4"</t>
  </si>
  <si>
    <t>ท่อขนาด Ø3"</t>
  </si>
  <si>
    <t>ท่อขนาด Ø2"</t>
  </si>
  <si>
    <t>สายไฟ</t>
  </si>
  <si>
    <t>ดวงไฟ สวิตช์และเต้ารับ</t>
  </si>
  <si>
    <t>ถังเก็บน้ำฝังดินไฟเบอร์กลาส จุ 4000 ลิตร</t>
  </si>
  <si>
    <t>เชิงชายไม้ 1"x8"</t>
  </si>
  <si>
    <t>ไม้ปิดลอนกระเบื้อง 3/4"x8"</t>
  </si>
  <si>
    <t>แผงสวิตช์และเซอร์กิตเบรกเกอร์</t>
  </si>
  <si>
    <t>ตรฟ</t>
  </si>
  <si>
    <t>ขั้นบันไดผิวหินขัดสำเร็จรูป</t>
  </si>
  <si>
    <t>พื้นชานพักผิวหินขัดสำเร็จรูป</t>
  </si>
  <si>
    <t>กระเบื้องกระดาษ4มม</t>
  </si>
  <si>
    <t>vat 7%</t>
  </si>
  <si>
    <t>ค่าแรงมุงกระเบื้องหลังคา</t>
  </si>
  <si>
    <t>ตาข่ายพลาสติก</t>
  </si>
  <si>
    <t>พ3 พื้นปูกระเบื้องหินขัดสำเร็จรูป</t>
  </si>
  <si>
    <t>ผ2 ผนังก่ออิฐครึ่งแผ่น</t>
  </si>
  <si>
    <t>ป1น1ประตูบานเหล็กหน้าต่างบานเกล็ดปรับมุม</t>
  </si>
  <si>
    <t>ป2น2ประตูบานเหล็กหน้าต่างบานเกล็ดปรับมุม</t>
  </si>
  <si>
    <t>ป2'ช3ประตูบานเหล็กหน้าต่างช่องแสงเกล็ด</t>
  </si>
  <si>
    <t>ช1ช่องลมกระจกฝ้า</t>
  </si>
  <si>
    <t>ช2ช่องแสงกระจกใส</t>
  </si>
  <si>
    <t>กระจกเงาสำเร็จรูปกรอบพลาสติก ซม.</t>
  </si>
  <si>
    <t>ราวแขวนผ้าพลาสติก</t>
  </si>
  <si>
    <t>ราวอลูมิเนียมพร้อมผ้าม้านพลาสติก</t>
  </si>
  <si>
    <t>ฝาสแตนเลส เปิด ปิด ยึดด้วยบานพับ</t>
  </si>
  <si>
    <t>บ่อ</t>
  </si>
  <si>
    <t>ลำดับ</t>
  </si>
  <si>
    <t>ท่อขนาด Ø1"</t>
  </si>
  <si>
    <t>ขอยึดเกลียวปล่อยพร้อมอุปกรณ์</t>
  </si>
  <si>
    <t>สายน้ำดีอ่างล้างหน้า A800</t>
  </si>
  <si>
    <t>ฝักบัวก้านแข็งทองเหลืองชุบโครเมียม</t>
  </si>
  <si>
    <t>บ่อพักและท่อระบายน้ำ</t>
  </si>
  <si>
    <t xml:space="preserve">มิเตอร์น้ำขนาด 1/2" </t>
  </si>
  <si>
    <t>งานที่ไม่พิจารณาให้ค่า Factor F</t>
  </si>
  <si>
    <t>งานระบบทีวีรวม</t>
  </si>
  <si>
    <t>ชุดหัวรับสัญญาณ</t>
  </si>
  <si>
    <t>ชุดแยกสัญญาณ</t>
  </si>
  <si>
    <t>ชุดกล่องรับสัญญาณพร้อมรีโมท</t>
  </si>
  <si>
    <t>ค่าแรงติดตั้งพร้อมเดินสายสัญญาณ</t>
  </si>
  <si>
    <t xml:space="preserve">เต้ารับ tv พร้อมหน้ากากสีขาว </t>
  </si>
  <si>
    <t>บัวไม้ 4 นิ้ว</t>
  </si>
  <si>
    <t>รวมค่าก่อสร้างเป็นเงินทั้งสิ้นคิดเป็นเงินประมาณ</t>
  </si>
  <si>
    <t>lot</t>
  </si>
  <si>
    <t>ข้อต่อและอุปกรณ์ประกอบ</t>
  </si>
  <si>
    <t>อุปกรณ์ยึดแขวนท่อ น้ำยา และอื่นๆ</t>
  </si>
  <si>
    <t>Accessories</t>
  </si>
  <si>
    <t>ฉาบปูนทรายรองพื้นเตรียมเพื่อบุกระเบื้อง</t>
  </si>
  <si>
    <t>Main Distribition Board (MDB)</t>
  </si>
  <si>
    <t xml:space="preserve">Meter (KWHr) Panel Board </t>
  </si>
  <si>
    <t>Merter(KWHr)1P30/100A</t>
  </si>
  <si>
    <t>Merter(KWHr)3P30/100A</t>
  </si>
  <si>
    <t>ENTRACE CAP 3"</t>
  </si>
  <si>
    <t>SPOOL RACK</t>
  </si>
  <si>
    <t>Bare Conductor 50 SQ.MM.</t>
  </si>
  <si>
    <t>ท่อและรางเดินสายไฟฟ้า</t>
  </si>
  <si>
    <t>ตารางแสดงวิธีการคำนวณหาวัสดุมวลรวมต่อหน่วย</t>
  </si>
  <si>
    <t>คอนกรีตส่วนผสม 1:3:5(คอนกรีตหยาบ)</t>
  </si>
  <si>
    <t>คอนกรีตส่วนผสม 1:2:4</t>
  </si>
  <si>
    <t>น้ำยาผสมปูนก่อ</t>
  </si>
  <si>
    <t>ผ2 ฉาบปูนผนังภายใน</t>
  </si>
  <si>
    <t>ผ2 ฉาบปูนผนังภายนอก</t>
  </si>
  <si>
    <t>ฉาบปูนโครงสร้างภายใน</t>
  </si>
  <si>
    <t>ฉาบปูนโครงสร้างภายนอก</t>
  </si>
  <si>
    <t>มุ้งลวดหน้าต่าง ขนาดประมาณ 0.50 x 1.10 ม.</t>
  </si>
  <si>
    <t>มุ้งลวดประตูขนาดประมาณ 0.80-0.90 x 2.00 ม.</t>
  </si>
  <si>
    <t>มุ้งลวดช่องแสง ช1 ขนาดประมาณ 0.60 x 0.80 ม.</t>
  </si>
  <si>
    <t>โครงสร้างรับถังเก็บน้ำฝังดิน ขนาด 4,000 ลิตร</t>
  </si>
  <si>
    <t>บ่อเกรอะ-บ่อซึมสำเร็จรูป ขนาดความจุ 4000 ลิตร</t>
  </si>
  <si>
    <t>เหล็กØ6มม</t>
  </si>
  <si>
    <t>เหล็กØ9มม</t>
  </si>
  <si>
    <t>ปูนซเมนต์ปอร์ตแลน์(มอก. 15/2514)</t>
  </si>
  <si>
    <t>ปูนทรายรองพื้นสำหรับปูวัสดุแผ่นพื้นสำเร็จรูป (หนา 3 ซม.)</t>
  </si>
  <si>
    <t>ทินเนอร์หรือแอลกอฮอล์</t>
  </si>
  <si>
    <t>2.2.6</t>
  </si>
  <si>
    <t>ปูนทรายรองพื้นแทนแบบท้องคานและแบบพื้น</t>
  </si>
  <si>
    <t>โครงคร่าวเหล็กชุบสังกะสี@ 0.60 ม.(TG-  )</t>
  </si>
  <si>
    <t>ฝ้าเพดานแผ่นยิบซั่มบอร์ดหนา  9 มม.ขนาด 1.20x2.40 ม.</t>
  </si>
  <si>
    <t>ตะปูเกลียว</t>
  </si>
  <si>
    <t>ฉาบรอยต่อ</t>
  </si>
  <si>
    <t xml:space="preserve">แผ่นยิบซั่มบอร์ดหนา9 มม.ฟรอย์  </t>
  </si>
  <si>
    <t>ฝ้า/ผนังปูนฉาบผิวเรียบ</t>
  </si>
  <si>
    <t>ทรายหยาบรองพื้น</t>
  </si>
  <si>
    <t>พื้น พ1 คสล.ผิวขัดเรียบ 30.42 ตรม.</t>
  </si>
  <si>
    <t>เหล็กไวย์เมท 4 มม.ระยะ20ซม</t>
  </si>
  <si>
    <t>ค่าแรง</t>
  </si>
  <si>
    <t>ผิวขัดเรียบ</t>
  </si>
  <si>
    <t>บัวเชิงผนังหินขัดสำเร็จรูป</t>
  </si>
  <si>
    <t>บัวกระเบื้องหินขัด1เมตรใช้3.3แผ่น</t>
  </si>
  <si>
    <t>ปูนทรายปรับระดับสำหรับปูกระเบื้องพื้น</t>
  </si>
  <si>
    <t>ฉาบปูนผนัง</t>
  </si>
  <si>
    <t>ผนังค.ส.ล. หนา12 ซม. 144.66 ตรม</t>
  </si>
  <si>
    <t>ผนังค.ส.ล. หนา 12 ซม 73.40 ตรม</t>
  </si>
  <si>
    <t>ปูนทรายสำหรับรองพื้นบุวัสดุแผ่นสำเร็จรูป (หนา 1.5 ซม.เผื่อวัสดุเสียหายแล้ว)</t>
  </si>
  <si>
    <t>สีน้ำมันทาไม้</t>
  </si>
  <si>
    <t>สีน้ำมันทาเหล็ก</t>
  </si>
  <si>
    <t>THW  10 SQ.MM</t>
  </si>
  <si>
    <t>THW  25 SQ.MM</t>
  </si>
  <si>
    <t>GROUND LOT 5/8" 8'LONG</t>
  </si>
  <si>
    <t>โถส้วมนั่งราบแบบมีหม้อน้ำ TF2793W</t>
  </si>
  <si>
    <t>อ่างล้างหน้าแบบวางบนเคาน์เตอร์ TF476S</t>
  </si>
  <si>
    <t>ที่ใส่กระดาษชำระฝังผนัง TF900</t>
  </si>
  <si>
    <t>พุกเหล็ก6มม</t>
  </si>
  <si>
    <t>เทปประสานรอยต่อ 25ม/ม้วน</t>
  </si>
  <si>
    <t>สกรุยิบซั่ม 25,38,45มม</t>
  </si>
  <si>
    <t>เหล็กเข้ามุม วัดตามหน้างานจริง</t>
  </si>
  <si>
    <t>เหล็กเข้าขอบ วัดตามหน้างานจริง</t>
  </si>
  <si>
    <t>ผนังยิปซั่ม 2 ด้าน/ตร.ม ระบบยิปวอลล์</t>
  </si>
  <si>
    <t>เส้น</t>
  </si>
  <si>
    <t>ช่วงหลัง 6เมตร จำนวน 12 ชุด</t>
  </si>
  <si>
    <t>สีน้ำมันโครงเหล็ก</t>
  </si>
  <si>
    <t>โครงเหล็ก1"x1"x2.3mm</t>
  </si>
  <si>
    <t>คิดช่วงยาว 28.00 ม</t>
  </si>
  <si>
    <t>โครงml50 ระยะ0.30ม 95บาท/เส้น</t>
  </si>
  <si>
    <t>ไม้ระแนงสมาทวูด7.5x300</t>
  </si>
  <si>
    <t>ราคา/หน่วย</t>
  </si>
  <si>
    <t xml:space="preserve">งบประมาณ </t>
  </si>
  <si>
    <t>บันไดลิงเหล็กดำØ2,BSMØ11/2"สูง3.00ม</t>
  </si>
  <si>
    <t>สีน้ำมันØ 2 1/2"</t>
  </si>
  <si>
    <t>สีน้ำมันØ 2"</t>
  </si>
  <si>
    <t>สีน้ำมันØ 1 1/2"</t>
  </si>
  <si>
    <t>ราวบันไดท่อเหล็กดำØ21/2",2"11/2"หนา2.3 มม</t>
  </si>
  <si>
    <t>ฝ้าชายคาไม้ระแนง 1x4 ซม.@ 1/2 ซม. ชายคากว้าง2.00มยาว28.00ม 1 ชุดและ12.00ม 2ชุด</t>
  </si>
  <si>
    <t>เหล็กนอน 6มม.@0.25</t>
  </si>
  <si>
    <t>เหล็กตั้ง 9มม.@0.20</t>
  </si>
  <si>
    <t>โครงคร่าวเหล็กชุบสังกะสี(92x0.55มม)</t>
  </si>
  <si>
    <t>งานดินและฐานราก</t>
  </si>
  <si>
    <t>4ชั้น 50%</t>
  </si>
  <si>
    <t>3 ชั้น 60%</t>
  </si>
  <si>
    <t xml:space="preserve"> 1-2 ชั้น80%</t>
  </si>
  <si>
    <t>เหล็กเสริมคอนกรีต</t>
  </si>
  <si>
    <t>วัสดุรองก้น(ทรายหยาบ)</t>
  </si>
  <si>
    <t>ขุดดินและถมคืน</t>
  </si>
  <si>
    <t>เสาเข็ม</t>
  </si>
  <si>
    <t>เหล็กเสริม SR24 Dai 6 มม.</t>
  </si>
  <si>
    <t>1.5.2</t>
  </si>
  <si>
    <t>ปีกนก คสล. หนา 0.12 ม. ยาว 59.20 เมตร ปีกยาว 0.30 ม</t>
  </si>
  <si>
    <t>เสาเอ็น คานทับหลัง(ชนิดก่ออิฐครึ่งแผ่น)</t>
  </si>
  <si>
    <t>ไม้แบบคิด50%</t>
  </si>
  <si>
    <t>มีฟอย</t>
  </si>
  <si>
    <t>5.1.1</t>
  </si>
  <si>
    <t>5.1.2</t>
  </si>
  <si>
    <t>5.1.3</t>
  </si>
  <si>
    <t>5.1.4</t>
  </si>
  <si>
    <t>พ1พื้นผิวขัดเรียบ</t>
  </si>
  <si>
    <t>คอนกรีตทับหน้า(กรณีผสมเอง)</t>
  </si>
  <si>
    <t>คอนกรีตทับหน้า(กรณีใช้คอนกรีตสำเร็จรูป)</t>
  </si>
  <si>
    <t>คอนกรีตสำเร็จรูป210ksc</t>
  </si>
  <si>
    <t>ป3ประตูพีวีซีบานทึบ วงกบพีวีซี 0.70x2.00 ม</t>
  </si>
  <si>
    <t>ไม้แบบคิดให้ร้อยละ10ที่ราคาไม้แบบร้อยละ50</t>
  </si>
  <si>
    <t>มิย.61</t>
  </si>
  <si>
    <t>ไม่มีฟอย</t>
  </si>
  <si>
    <t>ฝ้ามีฟอย</t>
  </si>
  <si>
    <t>คอนกรีตโครงสร้าง</t>
  </si>
  <si>
    <t>พื้นปูหินขัดสำเร็จรูป ขนาด 30x30 ซม.</t>
  </si>
  <si>
    <t>กระเบื้องหินขัด30x30ซม.(11.11แผ่น/ตรม.)</t>
  </si>
  <si>
    <t>ตรม.</t>
  </si>
  <si>
    <t>ปูนซีเมนต์ผสม(silica cement)</t>
  </si>
  <si>
    <t>ปูนซีเมต์ขาวเคลือบ/ขัด(เงาซัว oxalic acid)</t>
  </si>
  <si>
    <t>wax ขัดเงา(ขี้ผึ้งขัดพื้น)</t>
  </si>
  <si>
    <t>พื้นกระเบื้องดินเผาเคลือบเซรามิค(สีธรรมดา) 8''x8"</t>
  </si>
  <si>
    <t>ปูนยาแนว</t>
  </si>
  <si>
    <t>ปูนกาวซีเมนต์ หนา 5 มม.</t>
  </si>
  <si>
    <t>4ตรม/20กก</t>
  </si>
  <si>
    <t>งานปูนและงานผนังตกแต่ง</t>
  </si>
  <si>
    <t>ผนังก่ออิฐมอญสามัญ(ก่อครึ่งแผ่น)</t>
  </si>
  <si>
    <t>อิฐมอญ ขนาด7x16x3.5ซม.</t>
  </si>
  <si>
    <t>ผนังปูนฉาบผิวเรียบ(หนา 1.5 ซม.)</t>
  </si>
  <si>
    <t>น้ำยาผสมปูนฉาบ</t>
  </si>
  <si>
    <t>409บ/5ลิตร</t>
  </si>
  <si>
    <t>ผนังกระเบื้องดินเผาเคลือบเซรามิค(สีธรรมดา) 8''x8"</t>
  </si>
  <si>
    <t xml:space="preserve"> 28แผ่น/ตรม.</t>
  </si>
  <si>
    <t xml:space="preserve"> (25+3 แผ่น)</t>
  </si>
  <si>
    <t>กระเบื้องเซรามิคสีธรรมดา 8"x8"</t>
  </si>
  <si>
    <t>กระเบื้องเคลือบเซรามิค 8"x8"</t>
  </si>
  <si>
    <t>คิ้วพีวีซี(เล็ก)</t>
  </si>
  <si>
    <t>ลบฟ.</t>
  </si>
  <si>
    <t>ปูนซีเมนต์ผสม มอก80/2550</t>
  </si>
  <si>
    <t>ฝ้าฉาบเรียบแผ่นเรียบไม่มีฟอย โครงหลักห่าง1.20ม.โครงซอย0.40ม.</t>
  </si>
  <si>
    <t>ตัวล๊อคโครง ML9</t>
  </si>
  <si>
    <t>ชุดหิ้วโครง ML1</t>
  </si>
  <si>
    <t>ลวด 4มม(เฉลี่ยยาว 0.80 ซม./ชุด)</t>
  </si>
  <si>
    <t>เทปประสานรอยต่อ(25ม./ม้วน)</t>
  </si>
  <si>
    <t>ฉากริม ที-บาร์ งานสำนักงาน</t>
  </si>
  <si>
    <t>กระเบื้องกระดาษ4มม ขนาด0.595x0.595 ม.</t>
  </si>
  <si>
    <t xml:space="preserve">วงกบเหล็กบานประตูเหล็กป1น1 </t>
  </si>
  <si>
    <t>มือจับ</t>
  </si>
  <si>
    <t>ปุ่มกันกระแทก</t>
  </si>
  <si>
    <t>Door closer</t>
  </si>
  <si>
    <t>บานพับ ขนาด เดือยหมุน</t>
  </si>
  <si>
    <t xml:space="preserve">กุญแจลูกบิด ตรา555 CPS รุ่น 05 - 430 SS 
</t>
  </si>
  <si>
    <t>กลอน 6" ตรา555 CPS รุ่น14-102H</t>
  </si>
  <si>
    <t>เกล็ดอลูมิเนียม 4" 12 เกล็ด@21บาท</t>
  </si>
  <si>
    <t>มือหมุนชุดบานเกล็ด@70บาท</t>
  </si>
  <si>
    <t>บานประตูเหล็กปั๊ม 0.90x2.00 ม</t>
  </si>
  <si>
    <t>บานประตูเหล็กปั๊ม 0.80x2.00 ม.</t>
  </si>
  <si>
    <t xml:space="preserve">วงกบเหล็กบานประตูเหล็กป2น2 </t>
  </si>
  <si>
    <t xml:space="preserve">วงกบเหล็กบานประตูเหล็กป2'ช3 </t>
  </si>
  <si>
    <t>บานประตูไม้อัดย/ย 0.80x2.00 ม.</t>
  </si>
  <si>
    <t>บานพับเหล็กอบสีบรอนซ์ขนาด4"x3"แหวนไนล่อน</t>
  </si>
  <si>
    <t>105/ตรม</t>
  </si>
  <si>
    <t xml:space="preserve">วงกบพีวีซี ป3 </t>
  </si>
  <si>
    <t>บานประตูพีวีซี บานทึบ 0.70x2.00 ม.</t>
  </si>
  <si>
    <t>100/ตรม</t>
  </si>
  <si>
    <t>ป4ประตูพีวีซีบานทึบ วงกบพีวีซี 0.70x1.80 ม</t>
  </si>
  <si>
    <t>วงกบพีวีซี ป4</t>
  </si>
  <si>
    <t>บานประตูพีวีซี บานทึบ 0.70x1.80 ม.</t>
  </si>
  <si>
    <t>วงกบเหล็กช่องแสง ช1 0.60x0.80 ม.</t>
  </si>
  <si>
    <t>วงกบเหล็กช่องแสง ช2 1.00x2.40 ม.</t>
  </si>
  <si>
    <t>สีอะคริลิค100%ภายใน ประเภททั่วไป</t>
  </si>
  <si>
    <t>สีทารองพื้นปูนใหม่</t>
  </si>
  <si>
    <t>สีทาภายในทาทับหน้า 2 เที่ยว</t>
  </si>
  <si>
    <t>สีอะคริลิค100%ภายนอก ประเภททั่วไป</t>
  </si>
  <si>
    <t>สีทาทับหน้าภายนอก 2 เที่ยว</t>
  </si>
  <si>
    <t>สีน้ำมันกันสนิมเหล็ก สนิม1 สีจริง 2</t>
  </si>
  <si>
    <t>สีทารองพื้นกันสนิม</t>
  </si>
  <si>
    <t>สีทับหน้า 2 เที่ยว</t>
  </si>
  <si>
    <t>น้ำมันสนหรือน้ำมันซักแห้ง</t>
  </si>
  <si>
    <t>สีกันสนิม รองพื้นกันสนิม 3 เที่ยว</t>
  </si>
  <si>
    <t>ทารองพื้นกันสนิม</t>
  </si>
  <si>
    <t>กระดาษทรายเบอร์9x11</t>
  </si>
  <si>
    <t>สีทารองพื้นไม้ 2 เที่ยว</t>
  </si>
  <si>
    <t>ปูนซเมนต์ปอร์ตแลน์(มอก.)</t>
  </si>
  <si>
    <t>ลบม.</t>
  </si>
  <si>
    <t>หินเบอร์ 1-2</t>
  </si>
  <si>
    <t>ไม้แบบคิด70%</t>
  </si>
  <si>
    <t>รวมเค้าเตอร์ยาว 1.00 ม</t>
  </si>
  <si>
    <t>ผิวกระเบื้อง 8"x8"</t>
  </si>
  <si>
    <t>ปูนทรายปรับแต่งผิว</t>
  </si>
  <si>
    <t>เคาน์เตอร์ คสล.ผิวกรุกระเบื้องกว้าง0.60-0.80</t>
  </si>
  <si>
    <t>เคาน์เตอร์คสล.ผิวกรุกระเบื้องยาว 1.60 ม.</t>
  </si>
  <si>
    <t>เคาน์เตอร์คสล.ผิวกรุกระเบื้องยาว 1.50 ม.</t>
  </si>
  <si>
    <t>ลูกขั้นบันไดท่อเหล็กดำØ 1 1/2"x2.0มม@0.35ม1ท่อน</t>
  </si>
  <si>
    <t>แม่บันไดท่อเหล็กดำ Ø2"x2.0มม 1 ท่อน</t>
  </si>
  <si>
    <t>แผ่นเหล็ก 0.15x0.15 หนา 4 มม.</t>
  </si>
  <si>
    <t>น็อตØ19มม.</t>
  </si>
  <si>
    <t>ราวกันตกเหล็กดำØ21/2"หนา2.8มม.ชั้นดาดฟ้า</t>
  </si>
  <si>
    <t>เหล็กØ 2 1/2"หนา2.8มม 6 ท่อน</t>
  </si>
  <si>
    <t>ราวกันตกท่อเหล็กดำØ 21/2"หนา2.8 มมชั้น1-4</t>
  </si>
  <si>
    <t xml:space="preserve">เหล็กØ 2 1/2"หนา2.8มม 210 ม.= 35ท่อน </t>
  </si>
  <si>
    <t>เหล็กØ 2 1/2"หนา2.8 มม.9 ท่อน</t>
  </si>
  <si>
    <t>เหล็กØ 2" หนา2.0มม 6 ท่อน</t>
  </si>
  <si>
    <t>เหล็กØ 1 1/2"หนา2.0มม 7 ท่อน</t>
  </si>
  <si>
    <t>ไม้แบบ50%-80%</t>
  </si>
  <si>
    <t xml:space="preserve">ไม้กระบาก50%=0.50 60%=0.60 80%=0.80 </t>
  </si>
  <si>
    <t xml:space="preserve">กุญแจลูกบิด ตรา555 CPS รุ่น 05 - 70 SS 
</t>
  </si>
  <si>
    <t>มือหมุนชุดบานเกล็ด@118บาท</t>
  </si>
  <si>
    <t>กลอน 6" ตรา555 CPS รุ่น14-406SS</t>
  </si>
  <si>
    <t>บานพับเหล็ก ขนาด4"x3"แหวนทองเหลือง</t>
  </si>
  <si>
    <t>ขาเกล็ดเหล็กเคลือบสังกะสี ยาว 2.40 ม./เส้น</t>
  </si>
  <si>
    <t>ขาเกล็ดเหล็กอาบสังกะสี หนา0.65มม. ยาว 2.40 ม เกล็ดอลูมิเนียม หนา 0.60 มม. ยาว6.00ม สูงเกล็ด 1 เมตร ใช้ 12 เกล็ด</t>
  </si>
  <si>
    <t>7ขาเกล็ดx1.00ม=7ม= 3.5 เส้น  เกล็ดอลูมเนียม ยาว 6.00ม 12 เส้น</t>
  </si>
  <si>
    <t>(0.30+0.30+0.60+0.60+(1.00*7)=8.8)+(6x2=12)=8.8+12=20.8mหรือ4เส้น</t>
  </si>
  <si>
    <t>ช่วงหลัง6เมตร/ชุดใช้โครงเหล็กรับขาเกล็ด=</t>
  </si>
  <si>
    <t>เกล็ดอลูมิเนียมหนา 0.6มม</t>
  </si>
  <si>
    <t>เกล็ดอลูมิเนียมหนา 0.6มม 12ชุด</t>
  </si>
  <si>
    <t>โครงเหล็ก1"x1"x2.3mmทั้งหมด 12 ชุด</t>
  </si>
  <si>
    <t>ช่วงหน้า29 ม.จำนวน3ชุดยาวชุดละ29ม.</t>
  </si>
  <si>
    <t xml:space="preserve">35ขาเกล็ดx1.00ม=35ม= 17.5 เส้น  </t>
  </si>
  <si>
    <t>เกล็ดอลูมิเนียม ยาว 6.00ม29/6=4.83ท่อน=5x6= 60 เส้น</t>
  </si>
  <si>
    <t>ช่วงหน้า29เมตร/ชุดใช้โครงเหล็กรับขาเกล็ด=</t>
  </si>
  <si>
    <t>(0.30*17)+(0.60*17)+(1.00*35)= 50.3)+(29x2=58)</t>
  </si>
  <si>
    <t>=50.3+58=108.3m หรือ19เส้น</t>
  </si>
  <si>
    <t>โครงเหล็ก1"x1"x2.3mmทั้งหมด 3 ชุด</t>
  </si>
  <si>
    <t>เกล็ดอลูมิเนียมหนา 0.6มม 3 ชุด</t>
  </si>
  <si>
    <t>สรุปทั้งหมด156 ตร.มช่วง6.00ม12ชุดช่วง29.00ม3 ชุด</t>
  </si>
  <si>
    <t>โครงเหล็ก1"x1"x2.3mm 105 ท่อน</t>
  </si>
  <si>
    <t>อุปกรณ์ประกอบ 10%</t>
  </si>
  <si>
    <t xml:space="preserve"> (RED OXIDE PRIMER)</t>
  </si>
  <si>
    <t xml:space="preserve">ตะปู 50%=0.13 60%=0.15 80%=0.20 </t>
  </si>
  <si>
    <t>ปูนทรายรองพื้นสำหรับปูวัสดุแผ่นพื้นสำเร็จรูป(หนา3ซม.)</t>
  </si>
  <si>
    <t>เหล็ก SD40 Dai 12 มม.</t>
  </si>
  <si>
    <t>เหล็ก SD40 Dai 16 มม.</t>
  </si>
  <si>
    <t>เหล็ก SD40 Dai 20 มม.</t>
  </si>
  <si>
    <t>เหล็ก SD40 Dai 25 มม.</t>
  </si>
  <si>
    <t>ยิบซั่ม</t>
  </si>
  <si>
    <t>ผ3 ผนังกรุกระเบื้องเคลือบเซรามิค 8"x8"</t>
  </si>
  <si>
    <t>แผ่นยิปซั่ม 9 มม</t>
  </si>
  <si>
    <t>ราคาวัสดุ</t>
  </si>
  <si>
    <t>ราคาค่าแรง</t>
  </si>
  <si>
    <t>รวมเป็นเงิน</t>
  </si>
  <si>
    <t>ผลรวมแยกตามงาน</t>
  </si>
  <si>
    <t>ราคาร่วมสำหรับคิด Factor F</t>
  </si>
  <si>
    <t>แบบหล่อคอนกรีต</t>
  </si>
  <si>
    <t>ค่าแรงไม้แบบ</t>
  </si>
  <si>
    <t>ไม้เคร่า</t>
  </si>
  <si>
    <t>สูตรการคำนวณหาค่า  Factor  F</t>
  </si>
  <si>
    <t xml:space="preserve"> F = FH + [F'xH' ]/Xh</t>
  </si>
  <si>
    <t>ใกล้ตนทุนสูง</t>
  </si>
  <si>
    <t xml:space="preserve"> F = FL - [F'xH' ]/Xl</t>
  </si>
  <si>
    <t>ใกล้ตนทุนต่ำ</t>
  </si>
  <si>
    <t>ช่องกรอกค่า</t>
  </si>
  <si>
    <t>กรอกเฉพาะ 5 รายการนี้</t>
  </si>
  <si>
    <t>FH =แฟคเตอร์ของต้นทุนสูง</t>
  </si>
  <si>
    <t>FL =แฟคเตอร์ของต้นทุนต่ำ</t>
  </si>
  <si>
    <t>F' = ผลต่างของ F สูง กับ F ต่ำ</t>
  </si>
  <si>
    <t>M = ต้นทุนค่าวัสดุค่าแรง</t>
  </si>
  <si>
    <t>MH = ค่าต้นทุนสูงตามตาราง</t>
  </si>
  <si>
    <t>ML = ค่าต้นทุนต่ำตามตาราง</t>
  </si>
  <si>
    <t>X' h = ผลต่างค่า  MH - M</t>
  </si>
  <si>
    <t>X' l = ผลต่างค่า   M - ML</t>
  </si>
  <si>
    <t>X  =  ผลต่างต้นทุนสูงกับต้นทุนต่ำ</t>
  </si>
  <si>
    <t>F  ใกล้ตนทุนสูง</t>
  </si>
  <si>
    <t>F  ใกล้ตนทุนต่ำ</t>
  </si>
  <si>
    <t>เงินล่วงหน้าจ่าย</t>
  </si>
  <si>
    <t>%</t>
  </si>
  <si>
    <t>เงินประกันผลงานหัก</t>
  </si>
  <si>
    <t>ดอกเบี้ยเงินกู้</t>
  </si>
  <si>
    <t>ค่าภาษีมูลค่าเพิ่ม (VAT)</t>
  </si>
  <si>
    <t>3Phase 4Wire415/240V630A Busbar</t>
  </si>
  <si>
    <t>MCB 3P 400AT 630AF  50KA</t>
  </si>
  <si>
    <t>BCB 3P 70AT 100AF  18KA</t>
  </si>
  <si>
    <t>BCB 1P 70AT 100AF  18KA</t>
  </si>
  <si>
    <t>General Lighting Panel Board LP-gl1</t>
  </si>
  <si>
    <t>24P 3Ø 4W 415/240V 125A Busbar Panal</t>
  </si>
  <si>
    <t>MCCB 3P 70AT 125AF 16KA</t>
  </si>
  <si>
    <t>MCB 1P 16AT 63F  6KA</t>
  </si>
  <si>
    <t>MCB 3P 32AT 63AF  6KA</t>
  </si>
  <si>
    <t>RCBO(30mA) 1P 16AT 63AF  6KA</t>
  </si>
  <si>
    <t>Room Lighting Panel Board LP-1L1-LP1L4 ชั้น1</t>
  </si>
  <si>
    <t>12P 1Ø 2W 240V 100A Busbar Panal</t>
  </si>
  <si>
    <t>MCB 2P 63AT 63AF  10KA</t>
  </si>
  <si>
    <t>MCB 1P 16AT 63AF  6KA</t>
  </si>
  <si>
    <t>RCBO(30mA) 1P 16AT 63AF 6KA</t>
  </si>
  <si>
    <t>MCB 1P 32AT 63AF 6KA</t>
  </si>
  <si>
    <t>RCBO(30mA) 1P 32AT 63AF 6KA</t>
  </si>
  <si>
    <t>Room Lighting Panel Board LP-2L1-LP-4L4 ชั้น2-ชั้น4</t>
  </si>
  <si>
    <t>Wirway 50x50 mm.</t>
  </si>
  <si>
    <t>Wirway 50x100 mm.</t>
  </si>
  <si>
    <t>Wirway 100x100 mm.</t>
  </si>
  <si>
    <t>THW  2.5 SQ.MM</t>
  </si>
  <si>
    <t>THW  4 SQ.MM</t>
  </si>
  <si>
    <t>THW  6 SQ.MM</t>
  </si>
  <si>
    <t>LED Lighting Fixture 1x14 w.Wall mtg.</t>
  </si>
  <si>
    <t>LED Lighting Fixture 1x10 w.Down Light.</t>
  </si>
  <si>
    <t>LED Lighting Fixture 1x14 w.Down Light.</t>
  </si>
  <si>
    <t>LED Emergency Light2x6w2x400Lumen12V7.2Ah</t>
  </si>
  <si>
    <t>Exit Sigh : Double Side completed w/Batterly</t>
  </si>
  <si>
    <t>1Switch 1P 16A 250V w/plastic cover</t>
  </si>
  <si>
    <t>2Switch 1P 16A 250V w/plastic cover</t>
  </si>
  <si>
    <t>3Switch 1P 16A 250V w/plastic cover</t>
  </si>
  <si>
    <t>3-Way Switch 1P 16A 250V w/plastic cover</t>
  </si>
  <si>
    <t xml:space="preserve">Receptace: Universal  Duplex w/Ground </t>
  </si>
  <si>
    <t>2P+E 16A 250V w/plastic cover</t>
  </si>
  <si>
    <t>Terminal Box</t>
  </si>
  <si>
    <t>ครอบกระเบื้องลอนคู่สี</t>
  </si>
  <si>
    <t>กระเบื้องลอนคู่สี 0.50x1.20 ม.หนา 6 มม</t>
  </si>
  <si>
    <t>12.6.1</t>
  </si>
  <si>
    <t>12.6.2</t>
  </si>
  <si>
    <t>12.6.3</t>
  </si>
  <si>
    <t>12.6.4</t>
  </si>
  <si>
    <t>12.6.5</t>
  </si>
  <si>
    <t>12.6.6</t>
  </si>
  <si>
    <t>12.6.7</t>
  </si>
  <si>
    <t>12.6.8</t>
  </si>
  <si>
    <t>12.6.9</t>
  </si>
  <si>
    <t>12.6.10</t>
  </si>
  <si>
    <t>12.7.1</t>
  </si>
  <si>
    <t>12.7.2</t>
  </si>
  <si>
    <t>12.7.3</t>
  </si>
  <si>
    <t>12.7.4</t>
  </si>
  <si>
    <t>12.7.5</t>
  </si>
  <si>
    <t>12.7.6</t>
  </si>
  <si>
    <t>12.7.7</t>
  </si>
  <si>
    <t>12.7.8</t>
  </si>
  <si>
    <t>12.7.9</t>
  </si>
  <si>
    <t>12.7.10</t>
  </si>
  <si>
    <t>12.7.11</t>
  </si>
  <si>
    <t>12.8.1</t>
  </si>
  <si>
    <t>12.8.2</t>
  </si>
  <si>
    <t>12.8.3</t>
  </si>
  <si>
    <t>12.8.4</t>
  </si>
  <si>
    <t>12.8.5</t>
  </si>
  <si>
    <t>12.8.6</t>
  </si>
  <si>
    <t>12.8.7</t>
  </si>
  <si>
    <t>12.8.8</t>
  </si>
  <si>
    <t>12.8.9</t>
  </si>
  <si>
    <t>12.8.10</t>
  </si>
  <si>
    <t>12.8.11</t>
  </si>
  <si>
    <t>12.8.12</t>
  </si>
  <si>
    <t>12.8.13</t>
  </si>
  <si>
    <t>ปักเสาไฟฟ้า 12 เมตร (รายการเฉพาะแห่ง)</t>
  </si>
  <si>
    <t>พัดลมติดผนัง ขนาดไม่น้อยกว่า 16"</t>
  </si>
  <si>
    <t xml:space="preserve">เตียงนอน พร้อมที่นอน ขนาด 3.5 ฟุต </t>
  </si>
  <si>
    <t>โต๊ะพร้อมเก้าอี้ 4 ที่นั่ง</t>
  </si>
  <si>
    <t>- บัญชีค่าแรงงาน ตามกรมบัญชีกลาง</t>
  </si>
  <si>
    <t>ที่ กค.0433.2/ว 135 ลว.3 มี.ค.2566</t>
  </si>
  <si>
    <t>เข็มสี่เหลี่ยมตัน 0.35x0.35 ม. ยาว 21.00 ม.</t>
  </si>
  <si>
    <t>ฝ้าแผ่นยิบซั่มบอร์ดหนา 9 มม. ฉาบรอยต่อเรียบ</t>
  </si>
  <si>
    <t>ฝ้าที-บาร์กรุแผ่นกระเบื้องกระดาษหนา 4 มม.</t>
  </si>
  <si>
    <t>SINKล้างจานแบบหลุมเดียวขนาด  45x55x16 ซม.</t>
  </si>
  <si>
    <t>รางน้ำฝนสแตนเลสกว้าง 30 ซม. หนา 0.5 มม.</t>
  </si>
  <si>
    <t>แผงบังแดดเกล็ดอลูมิเนียมตัวซีเคลือบสีหนา0.6 มม.</t>
  </si>
  <si>
    <t xml:space="preserve">St2 บันไดขึ้นชั้นที่ 1 </t>
  </si>
  <si>
    <t>เสาเข็มคอนกรีต Ø6"x4.00 ม.</t>
  </si>
  <si>
    <t>ท่อ 3" IMC</t>
  </si>
  <si>
    <t>ท่อ 3/4" EMT</t>
  </si>
  <si>
    <t>ท่อ 1/2" EMT</t>
  </si>
  <si>
    <t>ท่อ 3/4" PVC</t>
  </si>
  <si>
    <t>ตัวถังไฟเบอร์กลาสพร้อมเครื่องเติมอากาศ 100 ลิตร/นาที+ตู้คอลโทล</t>
  </si>
  <si>
    <t>เสาเอ็นและทับหลัง ค.ส.ล.ขนาด 10x10 ซม.</t>
  </si>
  <si>
    <t>เหล็ก C-150x50X20x3.2 mm.</t>
  </si>
  <si>
    <t>เหล็ก C-100x50X20x2.3 mm.</t>
  </si>
  <si>
    <t xml:space="preserve">เงื่อนไข Factor F ตาม ว.499 </t>
  </si>
  <si>
    <t>- ดอกเบี้ยเงินกู้ 7 %</t>
  </si>
  <si>
    <t xml:space="preserve">ไม้ยาง2.5-6ม.50%=0.15 60%=0.18 80%=0.24 </t>
  </si>
  <si>
    <t>แผงบังแดดอลุมิเนียม โครงเหล็กกล่อง1"x1"x2.3มม@1.00m ค้ำยัน@2.00ม.</t>
  </si>
  <si>
    <t>*** complete ***</t>
  </si>
  <si>
    <t>การคำนวณหาค่า Factor-F เฉลี่ย</t>
  </si>
  <si>
    <t>ตาราง Factor F  งานอาคาร</t>
  </si>
  <si>
    <t>หนังสือกรมบัญชีกลาง ที่ กค.0433.2 / ว.499 ลว.28 สิงหาคม 2566</t>
  </si>
  <si>
    <t>เริ่มใช้ 28 สิงหาคม 2566</t>
  </si>
  <si>
    <t>ราคาค่าวัสดุและค่าแรงที่ประมาณราคาได้</t>
  </si>
  <si>
    <t>บาท</t>
  </si>
  <si>
    <t>Factor F =</t>
  </si>
  <si>
    <r>
      <t>D - ((D-E)*(A-</t>
    </r>
    <r>
      <rPr>
        <b/>
        <sz val="14"/>
        <color indexed="12"/>
        <rFont val="TH Sarabun New"/>
        <family val="2"/>
      </rPr>
      <t>B</t>
    </r>
    <r>
      <rPr>
        <b/>
        <sz val="14"/>
        <rFont val="TH Sarabun New"/>
        <family val="2"/>
      </rPr>
      <t>)/(</t>
    </r>
    <r>
      <rPr>
        <b/>
        <sz val="14"/>
        <color indexed="10"/>
        <rFont val="TH Sarabun New"/>
        <family val="2"/>
      </rPr>
      <t>C</t>
    </r>
    <r>
      <rPr>
        <b/>
        <sz val="14"/>
        <rFont val="TH Sarabun New"/>
        <family val="2"/>
      </rPr>
      <t>-</t>
    </r>
    <r>
      <rPr>
        <b/>
        <sz val="14"/>
        <color indexed="12"/>
        <rFont val="TH Sarabun New"/>
        <family val="2"/>
      </rPr>
      <t>B</t>
    </r>
    <r>
      <rPr>
        <b/>
        <sz val="14"/>
        <rFont val="TH Sarabun New"/>
        <family val="2"/>
      </rPr>
      <t>))</t>
    </r>
  </si>
  <si>
    <t>ค่าภาษีมูลค่าเพิ่ม</t>
  </si>
  <si>
    <t>B</t>
  </si>
  <si>
    <t>B : ค่างานต้นทุนต่ำ</t>
  </si>
  <si>
    <t>ค่างานต้นทุน</t>
  </si>
  <si>
    <t>A</t>
  </si>
  <si>
    <t>A : ค่างานต้นทุนที่ประมาณราคาได้</t>
  </si>
  <si>
    <t>(บาท)</t>
  </si>
  <si>
    <t>C</t>
  </si>
  <si>
    <t>C : ค่างานต้นทุนสูง</t>
  </si>
  <si>
    <t>D</t>
  </si>
  <si>
    <t>D : Factor F ทุนต่ำ</t>
  </si>
  <si>
    <t>E</t>
  </si>
  <si>
    <t>E : Factor F ทุนสูง</t>
  </si>
  <si>
    <t>นำค่านี้ไปใช้ในการคำนวณ</t>
  </si>
  <si>
    <t>A * Factor F</t>
  </si>
  <si>
    <t xml:space="preserve">   </t>
  </si>
  <si>
    <t>คณะกรรมการกำหนดราคากลางงานก่อสร้าง</t>
  </si>
  <si>
    <t>ลงนาม............................................</t>
  </si>
  <si>
    <t>1.  นายขจรเดช  มิตรอุดม</t>
  </si>
  <si>
    <t>ประธานกรรมการ</t>
  </si>
  <si>
    <t>2.  นายวีรชาติ  จัตวากุล</t>
  </si>
  <si>
    <t>กรรมการ</t>
  </si>
  <si>
    <t>3.  นางสาวสุกัญญา  กาจหาญ</t>
  </si>
  <si>
    <t>กรรมการและเลขานุการ</t>
  </si>
  <si>
    <t>ประมาณราคาเมื่อวันที่   16   เดือน  ธันวาคม  พ.ศ. 2567</t>
  </si>
  <si>
    <t>วันที่    16  ธันวาคม  2567</t>
  </si>
  <si>
    <t>*** ราคาวัสดุเดือน  พฤศจิกายน  2567</t>
  </si>
  <si>
    <t>-</t>
  </si>
  <si>
    <t>ไม้ค้ำยัน (ไม้สนขนาด ศก.3")</t>
  </si>
  <si>
    <t>คอนกรีตโครงสร้าง (คอนกรีตสำเร็จรูป 240 ksc. cube)</t>
  </si>
  <si>
    <t>พื้นสำเร็จรูปชนิดท้องเรียบหนา 5 ซม. LL≥200 กก./ตร.ม.</t>
  </si>
  <si>
    <t>คอนกรีตทับหน้า (คอนกรีตสำเร็จรูป 240 ksc. cube)</t>
  </si>
  <si>
    <t>ฉนวนใยแก้วสีเขียวกันความร้อน หนา≥ 15 มม.</t>
  </si>
  <si>
    <t>ความหนาแน่น 32 Kg./m.³</t>
  </si>
  <si>
    <t>ลวดตะแกรงเบอร์18 เคลือบ pvc สีขาว</t>
  </si>
  <si>
    <t>ปีกนก ค.ส.ล.ปิดลอนกระเบื้อง</t>
  </si>
  <si>
    <t>พ1 พื้น ค.ส.ล.ผิวขัดเรียบ 30.42 ตร.ม.</t>
  </si>
  <si>
    <t>เหล็กไวย์เมท 4 มม.ระยะห่าง 20 ซม.</t>
  </si>
  <si>
    <t>ลบ.ม.</t>
  </si>
  <si>
    <t>พ2 พื้น ค.ส.ล.ผิวขัดเรียบผสมน้ำยากันซึม</t>
  </si>
  <si>
    <t>จมูกบันได PVC ขนาด 2" หนา 5 มม.</t>
  </si>
  <si>
    <t>พ4 พื้น ค.ส.ล.ผิวปูกระเบื้องดินเผาเคลือบ 8"x8"</t>
  </si>
  <si>
    <t>ผ1 ผนัง ค.ส.ล.ฉาบปูนเรียบ (ระเบียง)</t>
  </si>
  <si>
    <t xml:space="preserve">ผ1 ผนัง ค.ส.ล.ฉาบปูนเรียบ (ปิดโครงหลังคา) </t>
  </si>
  <si>
    <t>ผ4 ผนังไม้อัด 4 มม.กรุ 2 ด้าน โครงคร่าวเหล็กอาบสังกะสี</t>
  </si>
  <si>
    <t>งานประตู-หน้าต่าง</t>
  </si>
  <si>
    <t>ป1น1 ประตูบานเหล็กหน้าต่างบานเกล็ดปรับมุม</t>
  </si>
  <si>
    <t>ป2น2 ประตูบานเหล็กหน้าต่างบานเกล็ดปรับมุม</t>
  </si>
  <si>
    <t>ป2'ช3 ประตูบานเหล็กหน้าต่างช่องแสงเกล็ด</t>
  </si>
  <si>
    <t xml:space="preserve">ป4 ประตูพีวีซีบานทึบ วงกบพีวีซี 0.70x1.80 ม. </t>
  </si>
  <si>
    <t>ช1 ช่องลมกระจกฝ้า</t>
  </si>
  <si>
    <t>ช2 ช่องแสงกระจกใส</t>
  </si>
  <si>
    <t>ตร.ฟ.</t>
  </si>
  <si>
    <t>ลูกกรงเหล็กดัด เหล็กหนา 3 มม. กว้าง 19 มม.</t>
  </si>
  <si>
    <t>ท่อน้ำทิ้งอ่างล้างหน้า A8102N แบบกระปุก abs</t>
  </si>
  <si>
    <t>สดืออ่างล้างหน้าแบบตัวล๊อก A8007</t>
  </si>
  <si>
    <t>หิ้งวางของเคลือบขาว TF9075</t>
  </si>
  <si>
    <t>สายฉีดชำระ A4800WT</t>
  </si>
  <si>
    <t>เคาน์เตอร์อ่างผิวกรุกระเบื้อง ยาว 1.60 ม.</t>
  </si>
  <si>
    <t>เคาน์เตอร์ เจาะฝังอ่างล้างจาน ยาว 1.50 ม.</t>
  </si>
  <si>
    <t>ชุดประตูบานเลื่อนไม้ 2 บาน หน้าเคาน์เตอร์</t>
  </si>
  <si>
    <t>วาล์วเปิดปิดน้ำ A4400 ขนาด 1/2"</t>
  </si>
  <si>
    <t>ตะแกรงทองเหลืองชุบแบบมีที่ดักกลิ่น Ø2"</t>
  </si>
  <si>
    <t>บันไดลิงเหล็กดำ Ø2, BSM Ø 11/2" สูง 3.00 ม.</t>
  </si>
  <si>
    <t>ราวกันตกเหล็กดำ Ø21/2" หนา 2.3 มม. ชั้นดาดฟ้า</t>
  </si>
  <si>
    <t>ราวกันตกท่อเหล็กดำ Ø 21/2" หนา 2.3  มม. ชั้น 1-4</t>
  </si>
  <si>
    <t>ขาเกล็ดเหล็กเคลือบสังกะสีหนา 0.65 มม. โครงเหล็กกล่อง 1"x1"x2.3 mm.@1.00 ม.</t>
  </si>
  <si>
    <t>ราวบันไดท่อเหล็กดำ Ø21/2", 2"11/2" หนา 2.3 มม.</t>
  </si>
  <si>
    <t>บ่อพักน้ำพร้อมฝาเหล็ก 0.60x0.60 ม. รอบอาคาร</t>
  </si>
  <si>
    <t>ท่อ ค.ส.ล. Ø 0.30 ม.</t>
  </si>
  <si>
    <t>คอนกรีตหนา 10 ซม. 2.50x2.50 ม.</t>
  </si>
  <si>
    <t>เหล็กเสริม Ø12 mm. @ 0.25 ม. #</t>
  </si>
  <si>
    <t>ก.ก.</t>
  </si>
  <si>
    <t>โครงสร้างรับบ่อเกรอะและถังบำบัดขนาด 4,000 ลิตร</t>
  </si>
  <si>
    <t>เสาเข็มคอนกรีต Ø6"x 4.00 ม.</t>
  </si>
  <si>
    <t>คอนกรีตหนา 0.10 ซม. 2.20x2.20 ม.</t>
  </si>
  <si>
    <t>เหล็กเสริม Ø9 mm. @ 0.15 m. #</t>
  </si>
  <si>
    <t>ท่อ (PVC ชั้น 8.5)</t>
  </si>
  <si>
    <t>ถังดับเพลิง แบบ CHEMICAL POWDER 15 ปอนด์</t>
  </si>
  <si>
    <t>ถังเก็บน้ำไฟเบอร์กลาส จุ 1000 ลิตร</t>
  </si>
  <si>
    <t>ชุดจานรับดาวเทียม ขนาด 6 ฟุต</t>
  </si>
  <si>
    <t>ครุภัณฑ์ประกอบอาคาร</t>
  </si>
  <si>
    <t>ตู้เสื้อผ้า (ขนาด WxHxD ไม่น้อยกว่า 120x180x55 ซม.)</t>
  </si>
  <si>
    <t>พัดลมโคจรติดเพดาน ขนาดไม่น้อยกว่า 18"</t>
  </si>
  <si>
    <t>ชุดกล้องวงจรปิด 16 ช่อง (16 ตัว)</t>
  </si>
  <si>
    <t>m.</t>
  </si>
  <si>
    <t>ลบ.ฟ.</t>
  </si>
  <si>
    <t>คิดเป็นร้อยละ</t>
  </si>
  <si>
    <t>กลุ่มมาตรฐานอาคารและสิ่งก่อสร้าง  สำนักอำนวยการ</t>
  </si>
  <si>
    <t>แบบเลขที่ 52A08    ฐานรากแบบตอกเสาเข็ม</t>
  </si>
  <si>
    <t xml:space="preserve">ประมาณราคาค่าก่อสร้าง   อาคารหอพักพร้อมครุภัณฑ์ </t>
  </si>
  <si>
    <t>ประมาณราคาค่าก่อสร้าง โดย  1. นายขจรเดช มิตรอุบล  2. นายวีรชาติ จัตวากุล  3. นางสาวสุกัญญา กาจหาญ  4. นางสาวชญาน์พันธ์ พยอมใหม่  5. นายณัฐวุฒิ จันทรมนตรี</t>
  </si>
  <si>
    <t>สีกันสนิม 1 เที่ยวและสีน้ำมัน 2 เที่ยว</t>
  </si>
  <si>
    <t>ทาสีอคิลิค 100%  ภายใน กึ่งเงา</t>
  </si>
  <si>
    <t>ทาสีอคิลิค 100% ภายนอก กึ่งเงา</t>
  </si>
  <si>
    <t xml:space="preserve">ประเภทอาคารหอพักพร้อมครุภัณฑ์ </t>
  </si>
  <si>
    <t>แบบเลขที่ 52A08  ฐานรากแบบตอกเสาเข็ม  แบบประมาณราคา ปร.4  จำนวน 10 แผ่น</t>
  </si>
  <si>
    <t>สถานที่ก่อสร้าง   วิทยาลัยการอาชีพบ้านไผ่  ตำบลหนองน้ำใส  อำเภอบ้านไผ่  จังหวัดขอนแก่น</t>
  </si>
  <si>
    <t>เงื่อนไข Factor F ตาม ว.499</t>
  </si>
  <si>
    <t>ลงวันที่  28 สิงหาคม  2566</t>
  </si>
  <si>
    <t>เครื่องปั๊มน้ำ 5.4hp  3ph 380 v 2900 rpm</t>
  </si>
  <si>
    <t>ชุดควบคุมเครื่องปั้มน้ำอัตโนมัติขนาด 5.4 แรงม้า</t>
  </si>
  <si>
    <t>ตู้ Rack 12U</t>
  </si>
  <si>
    <t>สาย UTP CAT 6 ไม่น้อยกว่า 305 เมตร</t>
  </si>
  <si>
    <t>Access Point wifi 6</t>
  </si>
  <si>
    <t>หัว RJ45 ไม่น้อยกว่า 100 หัว</t>
  </si>
  <si>
    <t>Gigabit Switch ไม่น้อยกว่า 24 Port</t>
  </si>
  <si>
    <t>ตู้เย็น ขนาด 5 คิว</t>
  </si>
  <si>
    <t>ค่าแรงติดตั้งพร้อมเดินสาย</t>
  </si>
  <si>
    <t>หมดรายการ</t>
  </si>
  <si>
    <t>แบบมีฟรอยด์</t>
  </si>
  <si>
    <t>T-Bar อลูมิเนียม</t>
  </si>
  <si>
    <t>รวมค่าแรงและอุปกรณ์</t>
  </si>
  <si>
    <t>งานระบบไฟฟ้า</t>
  </si>
  <si>
    <t>งานระบบอินเทอร์เน็ตรวม</t>
  </si>
  <si>
    <t>สรุปผลการประมาณราคาค่าก่อสร้างประกอบแบบรูปรายการ</t>
  </si>
  <si>
    <t>โทรทัศน์ สมาร์ททีวี ขนาด 32 นิ้ว</t>
  </si>
  <si>
    <t>ประเภทงานที่ไม่พิจารณาให้ค่า Factor F</t>
  </si>
  <si>
    <t>4.  นางสาวชญาน์พันธ์  พยอมใหม่</t>
  </si>
  <si>
    <t>5.  นายณัฐวุฒิ  จันทรมนตรี</t>
  </si>
  <si>
    <r>
      <t xml:space="preserve">สถานที่ก่อสร้าง   </t>
    </r>
    <r>
      <rPr>
        <b/>
        <sz val="13"/>
        <rFont val="TH SarabunPSK"/>
        <family val="2"/>
      </rPr>
      <t>วิทยาลัยการอาชีพบ้านไผ่  ตำบลหนองน้ำใส  อำเภอบ้านไผ่  จังหวัดขอนแก่น</t>
    </r>
  </si>
  <si>
    <r>
      <t>เชิงชายและไม้ปิดลอน</t>
    </r>
    <r>
      <rPr>
        <sz val="14"/>
        <color indexed="9"/>
        <rFont val="TH SarabunPSK"/>
        <family val="2"/>
      </rPr>
      <t xml:space="preserve"> สี41.33</t>
    </r>
  </si>
  <si>
    <t>THW 120  SQ.MM   (Main กลุ่มที่ 2)</t>
  </si>
  <si>
    <t>THW 150  SQ.MM   (Main กลุ่มที่ 4)</t>
  </si>
  <si>
    <t>THW 185  SQ.MM   (Main กลุ่มที่ 2)</t>
  </si>
  <si>
    <t>ฝ้าชายคาไม้เทียม7.5x300@1/2 ซม.กรุตาข่ายพลาสติกกันแมลง</t>
  </si>
  <si>
    <t xml:space="preserve">St1 บันไดขึ้นลงชั้น 1-4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</si>
</sst>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0"/>
    <numFmt numFmtId="167" formatCode="0.000"/>
    <numFmt numFmtId="168" formatCode="0.0000"/>
    <numFmt numFmtId="169" formatCode="_-* #,##0_-;\-* #,##0_-;_-* &quot;-&quot;??_-;_-@_-"/>
    <numFmt numFmtId="170" formatCode="_-* #,##0.0_-;\-* #,##0.0_-;_-* &quot;-&quot;??_-;_-@_-"/>
    <numFmt numFmtId="171" formatCode="#,##0.0"/>
    <numFmt numFmtId="172" formatCode="_-* #,##0.0000_-;\-* #,##0.0000_-;_-* &quot;-&quot;??_-;_-@_-"/>
    <numFmt numFmtId="173" formatCode="_-* #,##0.00000_-;\-* #,##0.00000_-;_-* &quot;-&quot;??_-;_-@_-"/>
  </numFmts>
  <fonts count="65">
    <font>
      <sz val="10"/>
      <name val="Arial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4"/>
      <name val="CordiaUPC"/>
      <family val="2"/>
      <charset val="22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sz val="14"/>
      <name val="CordiaUPC"/>
      <family val="2"/>
      <charset val="22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4"/>
      <name val="TH Sarabun New"/>
      <family val="2"/>
    </font>
    <font>
      <b/>
      <sz val="14"/>
      <name val="TH Sarabun New"/>
      <family val="2"/>
    </font>
    <font>
      <b/>
      <sz val="14"/>
      <color rgb="FFFF0000"/>
      <name val="TH Sarabun New"/>
      <family val="2"/>
    </font>
    <font>
      <sz val="14"/>
      <name val="CordiaUPC"/>
      <family val="2"/>
    </font>
    <font>
      <b/>
      <sz val="14"/>
      <color indexed="10"/>
      <name val="TH Sarabun New"/>
      <family val="2"/>
    </font>
    <font>
      <b/>
      <sz val="14"/>
      <color indexed="12"/>
      <name val="TH Sarabun New"/>
      <family val="2"/>
    </font>
    <font>
      <sz val="14"/>
      <color indexed="12"/>
      <name val="TH Sarabun New"/>
      <family val="2"/>
    </font>
    <font>
      <i/>
      <sz val="14"/>
      <name val="TH Sarabun New"/>
      <family val="2"/>
    </font>
    <font>
      <b/>
      <sz val="14"/>
      <color indexed="21"/>
      <name val="TH Sarabun New"/>
      <family val="2"/>
    </font>
    <font>
      <b/>
      <sz val="14"/>
      <color indexed="8"/>
      <name val="TH Sarabun New"/>
      <family val="2"/>
    </font>
    <font>
      <b/>
      <i/>
      <sz val="14"/>
      <color indexed="12"/>
      <name val="TH Sarabun New"/>
      <family val="2"/>
    </font>
    <font>
      <b/>
      <i/>
      <sz val="14"/>
      <color indexed="8"/>
      <name val="TH Sarabun New"/>
      <family val="2"/>
    </font>
    <font>
      <b/>
      <sz val="14"/>
      <color indexed="61"/>
      <name val="TH Sarabun New"/>
      <family val="2"/>
    </font>
    <font>
      <sz val="16"/>
      <name val="Angsana New"/>
      <family val="1"/>
    </font>
    <font>
      <b/>
      <u/>
      <sz val="16"/>
      <name val="Angsana New"/>
      <family val="1"/>
    </font>
    <font>
      <b/>
      <sz val="16"/>
      <color rgb="FF0070C0"/>
      <name val="Angsana New"/>
      <family val="1"/>
    </font>
    <font>
      <sz val="16"/>
      <color rgb="FF00B050"/>
      <name val="Angsana New"/>
      <family val="1"/>
    </font>
    <font>
      <b/>
      <u/>
      <sz val="16"/>
      <color indexed="10"/>
      <name val="Angsana New"/>
      <family val="1"/>
    </font>
    <font>
      <sz val="16"/>
      <color rgb="FF0070C0"/>
      <name val="Angsana New"/>
      <family val="1"/>
    </font>
    <font>
      <b/>
      <sz val="16"/>
      <name val="Angsana New"/>
      <family val="1"/>
    </font>
    <font>
      <sz val="16"/>
      <color rgb="FF000000"/>
      <name val="Angsana New"/>
      <family val="1"/>
    </font>
    <font>
      <sz val="16"/>
      <color indexed="10"/>
      <name val="Angsana New"/>
      <family val="1"/>
    </font>
    <font>
      <b/>
      <u/>
      <sz val="16"/>
      <color rgb="FFFF0000"/>
      <name val="Angsana New"/>
      <family val="1"/>
    </font>
    <font>
      <sz val="16"/>
      <color rgb="FFFF0000"/>
      <name val="Angsana New"/>
      <family val="1"/>
    </font>
    <font>
      <sz val="16"/>
      <color rgb="FF00B0F0"/>
      <name val="Angsana New"/>
      <family val="1"/>
    </font>
    <font>
      <b/>
      <u/>
      <sz val="16"/>
      <color rgb="FF0070C0"/>
      <name val="Angsana New"/>
      <family val="1"/>
    </font>
    <font>
      <sz val="16"/>
      <color theme="0"/>
      <name val="Angsana New"/>
      <family val="1"/>
    </font>
    <font>
      <sz val="16"/>
      <color theme="9" tint="-0.499984740745262"/>
      <name val="Angsana New"/>
      <family val="1"/>
    </font>
    <font>
      <sz val="13"/>
      <name val="TH SarabunPSK"/>
      <family val="2"/>
    </font>
    <font>
      <b/>
      <sz val="13"/>
      <name val="TH SarabunPSK"/>
      <family val="2"/>
    </font>
    <font>
      <sz val="11"/>
      <color theme="0" tint="-0.34998626667073579"/>
      <name val="TH SarabunPSK"/>
      <family val="2"/>
    </font>
    <font>
      <sz val="10"/>
      <color theme="0" tint="-0.34998626667073579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theme="0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u/>
      <sz val="16"/>
      <name val="TH SarabunPSK"/>
      <family val="2"/>
    </font>
    <font>
      <sz val="16"/>
      <color theme="0"/>
      <name val="TH SarabunPSK"/>
      <family val="2"/>
    </font>
    <font>
      <b/>
      <sz val="14"/>
      <color indexed="9"/>
      <name val="TH SarabunPSK"/>
      <family val="2"/>
    </font>
    <font>
      <b/>
      <u/>
      <sz val="14"/>
      <color theme="5" tint="-0.499984740745262"/>
      <name val="TH SarabunPSK"/>
      <family val="2"/>
    </font>
    <font>
      <sz val="14"/>
      <color indexed="9"/>
      <name val="TH SarabunPSK"/>
      <family val="2"/>
    </font>
    <font>
      <b/>
      <sz val="14"/>
      <color theme="5" tint="-0.499984740745262"/>
      <name val="TH SarabunPSK"/>
      <family val="2"/>
    </font>
    <font>
      <b/>
      <sz val="14"/>
      <color rgb="FFFF0000"/>
      <name val="TH SarabunPSK"/>
      <family val="2"/>
    </font>
    <font>
      <b/>
      <sz val="14"/>
      <color rgb="FF632523"/>
      <name val="TH SarabunPSK"/>
      <family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sz val="14"/>
      <color indexed="22"/>
      <name val="TH SarabunPSK"/>
      <family val="2"/>
    </font>
    <font>
      <u/>
      <sz val="14"/>
      <color rgb="FFFF0000"/>
      <name val="TH SarabunPSK"/>
      <family val="2"/>
    </font>
    <font>
      <u/>
      <sz val="14"/>
      <color theme="10"/>
      <name val="TH SarabunPSK"/>
      <family val="2"/>
    </font>
    <font>
      <sz val="14"/>
      <color rgb="FF0070C0"/>
      <name val="TH SarabunPSK"/>
      <family val="2"/>
    </font>
    <font>
      <sz val="14"/>
      <color rgb="FF00B05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6795556505021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medium">
        <color indexed="64"/>
      </top>
      <bottom style="thin">
        <color theme="0" tint="-0.34998626667073579"/>
      </bottom>
      <diagonal/>
    </border>
    <border>
      <left/>
      <right/>
      <top style="medium">
        <color indexed="64"/>
      </top>
      <bottom style="thin">
        <color theme="0" tint="-0.34998626667073579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4" fillId="0" borderId="0" applyFill="0"/>
    <xf numFmtId="0" fontId="7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4" fillId="0" borderId="0"/>
    <xf numFmtId="0" fontId="2" fillId="0" borderId="0"/>
  </cellStyleXfs>
  <cellXfs count="430">
    <xf numFmtId="0" fontId="0" fillId="0" borderId="0" xfId="0"/>
    <xf numFmtId="0" fontId="0" fillId="0" borderId="20" xfId="0" applyBorder="1"/>
    <xf numFmtId="0" fontId="0" fillId="0" borderId="20" xfId="0" applyBorder="1" applyAlignment="1">
      <alignment horizontal="center"/>
    </xf>
    <xf numFmtId="0" fontId="8" fillId="0" borderId="0" xfId="0" applyFont="1" applyAlignment="1">
      <alignment horizontal="center"/>
    </xf>
    <xf numFmtId="43" fontId="0" fillId="0" borderId="0" xfId="1" applyFont="1"/>
    <xf numFmtId="168" fontId="0" fillId="8" borderId="20" xfId="0" applyNumberFormat="1" applyFill="1" applyBorder="1"/>
    <xf numFmtId="43" fontId="0" fillId="8" borderId="20" xfId="1" applyFont="1" applyFill="1" applyBorder="1"/>
    <xf numFmtId="43" fontId="0" fillId="0" borderId="20" xfId="1" applyFont="1" applyBorder="1"/>
    <xf numFmtId="164" fontId="0" fillId="0" borderId="20" xfId="0" applyNumberFormat="1" applyBorder="1"/>
    <xf numFmtId="0" fontId="0" fillId="0" borderId="0" xfId="0" applyAlignment="1">
      <alignment horizontal="center"/>
    </xf>
    <xf numFmtId="0" fontId="2" fillId="0" borderId="0" xfId="0" applyFont="1"/>
    <xf numFmtId="168" fontId="0" fillId="0" borderId="20" xfId="0" applyNumberFormat="1" applyBorder="1"/>
    <xf numFmtId="164" fontId="13" fillId="0" borderId="0" xfId="8" applyFont="1" applyFill="1"/>
    <xf numFmtId="0" fontId="11" fillId="0" borderId="0" xfId="9" applyFont="1"/>
    <xf numFmtId="0" fontId="11" fillId="0" borderId="0" xfId="0" applyFont="1"/>
    <xf numFmtId="164" fontId="12" fillId="0" borderId="26" xfId="8" applyFont="1" applyBorder="1"/>
    <xf numFmtId="164" fontId="12" fillId="0" borderId="27" xfId="8" applyFont="1" applyBorder="1"/>
    <xf numFmtId="164" fontId="12" fillId="0" borderId="28" xfId="8" applyFont="1" applyBorder="1"/>
    <xf numFmtId="0" fontId="11" fillId="0" borderId="21" xfId="10" applyFont="1" applyBorder="1"/>
    <xf numFmtId="9" fontId="12" fillId="0" borderId="3" xfId="10" applyNumberFormat="1" applyFont="1" applyBorder="1" applyAlignment="1">
      <alignment horizontal="center"/>
    </xf>
    <xf numFmtId="164" fontId="12" fillId="0" borderId="3" xfId="8" applyFont="1" applyBorder="1"/>
    <xf numFmtId="164" fontId="16" fillId="0" borderId="21" xfId="8" applyFont="1" applyBorder="1"/>
    <xf numFmtId="164" fontId="12" fillId="0" borderId="0" xfId="8" applyFont="1" applyBorder="1"/>
    <xf numFmtId="9" fontId="15" fillId="2" borderId="3" xfId="10" applyNumberFormat="1" applyFont="1" applyFill="1" applyBorder="1" applyAlignment="1">
      <alignment horizontal="center"/>
    </xf>
    <xf numFmtId="164" fontId="12" fillId="0" borderId="21" xfId="8" applyFont="1" applyBorder="1" applyAlignment="1">
      <alignment horizontal="center" vertical="center"/>
    </xf>
    <xf numFmtId="164" fontId="12" fillId="0" borderId="21" xfId="8" applyFont="1" applyBorder="1"/>
    <xf numFmtId="164" fontId="17" fillId="0" borderId="29" xfId="8" applyFont="1" applyBorder="1"/>
    <xf numFmtId="0" fontId="11" fillId="0" borderId="30" xfId="10" applyFont="1" applyBorder="1"/>
    <xf numFmtId="164" fontId="16" fillId="0" borderId="21" xfId="8" applyFont="1" applyBorder="1" applyAlignment="1">
      <alignment horizontal="right"/>
    </xf>
    <xf numFmtId="169" fontId="18" fillId="2" borderId="5" xfId="8" applyNumberFormat="1" applyFont="1" applyFill="1" applyBorder="1" applyProtection="1">
      <protection hidden="1"/>
    </xf>
    <xf numFmtId="164" fontId="16" fillId="0" borderId="0" xfId="8" applyFont="1" applyBorder="1"/>
    <xf numFmtId="0" fontId="12" fillId="2" borderId="31" xfId="10" applyFont="1" applyFill="1" applyBorder="1" applyAlignment="1">
      <alignment horizontal="center"/>
    </xf>
    <xf numFmtId="0" fontId="12" fillId="2" borderId="32" xfId="10" applyFont="1" applyFill="1" applyBorder="1" applyAlignment="1">
      <alignment horizontal="center"/>
    </xf>
    <xf numFmtId="164" fontId="12" fillId="0" borderId="21" xfId="8" applyFont="1" applyBorder="1" applyAlignment="1">
      <alignment horizontal="right"/>
    </xf>
    <xf numFmtId="0" fontId="12" fillId="2" borderId="33" xfId="10" applyFont="1" applyFill="1" applyBorder="1" applyAlignment="1">
      <alignment horizontal="center"/>
    </xf>
    <xf numFmtId="0" fontId="11" fillId="2" borderId="30" xfId="10" applyFont="1" applyFill="1" applyBorder="1"/>
    <xf numFmtId="164" fontId="19" fillId="0" borderId="21" xfId="8" applyFont="1" applyBorder="1" applyAlignment="1">
      <alignment horizontal="right"/>
    </xf>
    <xf numFmtId="169" fontId="18" fillId="2" borderId="1" xfId="8" applyNumberFormat="1" applyFont="1" applyFill="1" applyBorder="1"/>
    <xf numFmtId="164" fontId="19" fillId="0" borderId="0" xfId="8" applyFont="1" applyFill="1" applyBorder="1"/>
    <xf numFmtId="169" fontId="11" fillId="0" borderId="20" xfId="8" applyNumberFormat="1" applyFont="1" applyBorder="1"/>
    <xf numFmtId="168" fontId="11" fillId="0" borderId="34" xfId="10" applyNumberFormat="1" applyFont="1" applyBorder="1" applyAlignment="1">
      <alignment horizontal="center"/>
    </xf>
    <xf numFmtId="168" fontId="11" fillId="0" borderId="6" xfId="10" applyNumberFormat="1" applyFont="1" applyBorder="1" applyAlignment="1">
      <alignment horizontal="center"/>
    </xf>
    <xf numFmtId="164" fontId="20" fillId="0" borderId="21" xfId="8" applyFont="1" applyBorder="1" applyAlignment="1">
      <alignment horizontal="right"/>
    </xf>
    <xf numFmtId="172" fontId="21" fillId="2" borderId="20" xfId="8" applyNumberFormat="1" applyFont="1" applyFill="1" applyBorder="1"/>
    <xf numFmtId="168" fontId="11" fillId="0" borderId="9" xfId="10" applyNumberFormat="1" applyFont="1" applyBorder="1" applyAlignment="1">
      <alignment horizontal="center"/>
    </xf>
    <xf numFmtId="172" fontId="22" fillId="11" borderId="35" xfId="8" applyNumberFormat="1" applyFont="1" applyFill="1" applyBorder="1"/>
    <xf numFmtId="173" fontId="15" fillId="0" borderId="0" xfId="8" applyNumberFormat="1" applyFont="1" applyBorder="1"/>
    <xf numFmtId="164" fontId="20" fillId="0" borderId="20" xfId="8" applyFont="1" applyBorder="1"/>
    <xf numFmtId="164" fontId="23" fillId="0" borderId="21" xfId="8" applyFont="1" applyBorder="1" applyAlignment="1">
      <alignment horizontal="right"/>
    </xf>
    <xf numFmtId="169" fontId="16" fillId="0" borderId="0" xfId="8" applyNumberFormat="1" applyFont="1" applyBorder="1"/>
    <xf numFmtId="173" fontId="15" fillId="0" borderId="3" xfId="8" applyNumberFormat="1" applyFont="1" applyBorder="1"/>
    <xf numFmtId="169" fontId="16" fillId="0" borderId="3" xfId="8" applyNumberFormat="1" applyFont="1" applyBorder="1"/>
    <xf numFmtId="164" fontId="12" fillId="0" borderId="36" xfId="8" applyFont="1" applyBorder="1"/>
    <xf numFmtId="164" fontId="12" fillId="0" borderId="4" xfId="8" applyFont="1" applyBorder="1"/>
    <xf numFmtId="173" fontId="15" fillId="0" borderId="6" xfId="8" applyNumberFormat="1" applyFont="1" applyBorder="1"/>
    <xf numFmtId="169" fontId="11" fillId="0" borderId="20" xfId="8" applyNumberFormat="1" applyFont="1" applyBorder="1" applyAlignment="1">
      <alignment horizontal="right"/>
    </xf>
    <xf numFmtId="164" fontId="12" fillId="0" borderId="0" xfId="8" applyFont="1"/>
    <xf numFmtId="0" fontId="11" fillId="0" borderId="0" xfId="10" applyFont="1"/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3" borderId="10" xfId="0" applyFont="1" applyFill="1" applyBorder="1" applyAlignment="1">
      <alignment horizontal="left" vertical="center"/>
    </xf>
    <xf numFmtId="0" fontId="26" fillId="3" borderId="10" xfId="0" applyFont="1" applyFill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24" fillId="0" borderId="19" xfId="0" applyFont="1" applyBorder="1" applyAlignment="1">
      <alignment horizontal="center" vertical="center"/>
    </xf>
    <xf numFmtId="0" fontId="24" fillId="0" borderId="19" xfId="0" applyFont="1" applyBorder="1" applyAlignment="1">
      <alignment vertical="center"/>
    </xf>
    <xf numFmtId="0" fontId="24" fillId="0" borderId="11" xfId="0" applyFont="1" applyBorder="1" applyAlignment="1">
      <alignment vertical="center"/>
    </xf>
    <xf numFmtId="0" fontId="24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vertical="center"/>
    </xf>
    <xf numFmtId="0" fontId="24" fillId="0" borderId="10" xfId="0" applyFont="1" applyBorder="1" applyAlignment="1">
      <alignment horizontal="center" vertical="center"/>
    </xf>
    <xf numFmtId="2" fontId="24" fillId="0" borderId="10" xfId="0" applyNumberFormat="1" applyFont="1" applyBorder="1" applyAlignment="1">
      <alignment horizontal="center" vertical="center"/>
    </xf>
    <xf numFmtId="0" fontId="27" fillId="0" borderId="10" xfId="0" applyFont="1" applyBorder="1" applyAlignment="1">
      <alignment vertical="center"/>
    </xf>
    <xf numFmtId="2" fontId="24" fillId="0" borderId="10" xfId="0" applyNumberFormat="1" applyFont="1" applyBorder="1" applyAlignment="1">
      <alignment vertical="center"/>
    </xf>
    <xf numFmtId="2" fontId="27" fillId="0" borderId="10" xfId="0" applyNumberFormat="1" applyFont="1" applyBorder="1" applyAlignment="1">
      <alignment vertical="center"/>
    </xf>
    <xf numFmtId="2" fontId="28" fillId="0" borderId="10" xfId="0" applyNumberFormat="1" applyFont="1" applyBorder="1" applyAlignment="1">
      <alignment vertical="center"/>
    </xf>
    <xf numFmtId="167" fontId="29" fillId="0" borderId="10" xfId="0" applyNumberFormat="1" applyFont="1" applyBorder="1" applyAlignment="1">
      <alignment vertical="center"/>
    </xf>
    <xf numFmtId="2" fontId="29" fillId="0" borderId="10" xfId="0" applyNumberFormat="1" applyFont="1" applyBorder="1" applyAlignment="1">
      <alignment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24" fillId="0" borderId="10" xfId="0" applyFont="1" applyBorder="1" applyAlignment="1">
      <alignment horizontal="right" vertical="center"/>
    </xf>
    <xf numFmtId="9" fontId="30" fillId="0" borderId="10" xfId="0" applyNumberFormat="1" applyFont="1" applyBorder="1" applyAlignment="1">
      <alignment horizontal="center" vertical="center"/>
    </xf>
    <xf numFmtId="167" fontId="24" fillId="0" borderId="10" xfId="0" applyNumberFormat="1" applyFont="1" applyBorder="1" applyAlignment="1">
      <alignment vertical="center"/>
    </xf>
    <xf numFmtId="0" fontId="31" fillId="0" borderId="10" xfId="0" applyFont="1" applyBorder="1" applyAlignment="1">
      <alignment vertical="center"/>
    </xf>
    <xf numFmtId="2" fontId="32" fillId="0" borderId="10" xfId="0" applyNumberFormat="1" applyFont="1" applyBorder="1" applyAlignment="1">
      <alignment vertical="center"/>
    </xf>
    <xf numFmtId="2" fontId="33" fillId="0" borderId="10" xfId="0" applyNumberFormat="1" applyFont="1" applyBorder="1" applyAlignment="1">
      <alignment vertical="center"/>
    </xf>
    <xf numFmtId="0" fontId="34" fillId="0" borderId="10" xfId="0" applyFont="1" applyBorder="1" applyAlignment="1">
      <alignment horizontal="center" vertical="center"/>
    </xf>
    <xf numFmtId="2" fontId="27" fillId="5" borderId="10" xfId="0" applyNumberFormat="1" applyFont="1" applyFill="1" applyBorder="1" applyAlignment="1">
      <alignment vertical="center"/>
    </xf>
    <xf numFmtId="2" fontId="35" fillId="0" borderId="10" xfId="0" applyNumberFormat="1" applyFont="1" applyBorder="1" applyAlignment="1">
      <alignment vertical="center"/>
    </xf>
    <xf numFmtId="2" fontId="34" fillId="5" borderId="10" xfId="0" applyNumberFormat="1" applyFont="1" applyFill="1" applyBorder="1" applyAlignment="1">
      <alignment vertical="center"/>
    </xf>
    <xf numFmtId="2" fontId="34" fillId="0" borderId="10" xfId="0" applyNumberFormat="1" applyFont="1" applyBorder="1" applyAlignment="1">
      <alignment vertical="center"/>
    </xf>
    <xf numFmtId="2" fontId="24" fillId="0" borderId="10" xfId="0" applyNumberFormat="1" applyFont="1" applyBorder="1" applyAlignment="1">
      <alignment horizontal="left" vertical="center"/>
    </xf>
    <xf numFmtId="2" fontId="27" fillId="6" borderId="10" xfId="0" applyNumberFormat="1" applyFont="1" applyFill="1" applyBorder="1" applyAlignment="1">
      <alignment vertical="center"/>
    </xf>
    <xf numFmtId="2" fontId="27" fillId="12" borderId="10" xfId="0" applyNumberFormat="1" applyFont="1" applyFill="1" applyBorder="1" applyAlignment="1">
      <alignment vertical="center"/>
    </xf>
    <xf numFmtId="0" fontId="32" fillId="0" borderId="10" xfId="0" applyFont="1" applyBorder="1" applyAlignment="1">
      <alignment vertical="center"/>
    </xf>
    <xf numFmtId="166" fontId="24" fillId="0" borderId="10" xfId="0" applyNumberFormat="1" applyFont="1" applyBorder="1" applyAlignment="1">
      <alignment horizontal="left" vertical="center"/>
    </xf>
    <xf numFmtId="2" fontId="36" fillId="0" borderId="10" xfId="0" applyNumberFormat="1" applyFont="1" applyBorder="1" applyAlignment="1">
      <alignment vertical="center"/>
    </xf>
    <xf numFmtId="0" fontId="37" fillId="0" borderId="10" xfId="0" applyFont="1" applyBorder="1" applyAlignment="1">
      <alignment vertical="center"/>
    </xf>
    <xf numFmtId="0" fontId="34" fillId="0" borderId="10" xfId="0" applyFont="1" applyBorder="1" applyAlignment="1">
      <alignment vertical="center"/>
    </xf>
    <xf numFmtId="0" fontId="24" fillId="4" borderId="10" xfId="0" applyFont="1" applyFill="1" applyBorder="1" applyAlignment="1">
      <alignment vertical="center"/>
    </xf>
    <xf numFmtId="2" fontId="24" fillId="4" borderId="10" xfId="0" applyNumberFormat="1" applyFont="1" applyFill="1" applyBorder="1" applyAlignment="1">
      <alignment vertical="center"/>
    </xf>
    <xf numFmtId="2" fontId="28" fillId="4" borderId="10" xfId="0" applyNumberFormat="1" applyFont="1" applyFill="1" applyBorder="1" applyAlignment="1">
      <alignment vertical="center"/>
    </xf>
    <xf numFmtId="4" fontId="24" fillId="0" borderId="10" xfId="0" applyNumberFormat="1" applyFont="1" applyBorder="1" applyAlignment="1">
      <alignment vertical="center"/>
    </xf>
    <xf numFmtId="0" fontId="38" fillId="0" borderId="10" xfId="0" applyFont="1" applyBorder="1" applyAlignment="1">
      <alignment vertical="center"/>
    </xf>
    <xf numFmtId="2" fontId="24" fillId="6" borderId="10" xfId="0" applyNumberFormat="1" applyFont="1" applyFill="1" applyBorder="1" applyAlignment="1">
      <alignment vertical="center"/>
    </xf>
    <xf numFmtId="0" fontId="26" fillId="10" borderId="10" xfId="0" applyFont="1" applyFill="1" applyBorder="1" applyAlignment="1">
      <alignment horizontal="left" vertical="center"/>
    </xf>
    <xf numFmtId="0" fontId="26" fillId="10" borderId="10" xfId="0" applyFont="1" applyFill="1" applyBorder="1" applyAlignment="1">
      <alignment vertical="center"/>
    </xf>
    <xf numFmtId="0" fontId="24" fillId="10" borderId="10" xfId="0" applyFont="1" applyFill="1" applyBorder="1" applyAlignment="1">
      <alignment vertical="center"/>
    </xf>
    <xf numFmtId="0" fontId="24" fillId="10" borderId="10" xfId="0" applyFont="1" applyFill="1" applyBorder="1" applyAlignment="1">
      <alignment horizontal="center" vertical="center"/>
    </xf>
    <xf numFmtId="0" fontId="24" fillId="10" borderId="10" xfId="0" applyFont="1" applyFill="1" applyBorder="1" applyAlignment="1">
      <alignment horizontal="left" vertical="center"/>
    </xf>
    <xf numFmtId="2" fontId="24" fillId="10" borderId="10" xfId="0" applyNumberFormat="1" applyFont="1" applyFill="1" applyBorder="1" applyAlignment="1">
      <alignment horizontal="center" vertical="center"/>
    </xf>
    <xf numFmtId="2" fontId="24" fillId="10" borderId="10" xfId="0" applyNumberFormat="1" applyFont="1" applyFill="1" applyBorder="1" applyAlignment="1">
      <alignment vertical="center"/>
    </xf>
    <xf numFmtId="9" fontId="24" fillId="10" borderId="10" xfId="0" applyNumberFormat="1" applyFont="1" applyFill="1" applyBorder="1" applyAlignment="1">
      <alignment vertical="center"/>
    </xf>
    <xf numFmtId="9" fontId="24" fillId="10" borderId="10" xfId="0" applyNumberFormat="1" applyFont="1" applyFill="1" applyBorder="1" applyAlignment="1">
      <alignment horizontal="right" vertical="center"/>
    </xf>
    <xf numFmtId="0" fontId="24" fillId="10" borderId="10" xfId="0" applyFont="1" applyFill="1" applyBorder="1" applyAlignment="1">
      <alignment horizontal="left" vertical="top"/>
    </xf>
    <xf numFmtId="0" fontId="24" fillId="0" borderId="0" xfId="0" applyFont="1" applyAlignment="1">
      <alignment vertical="top"/>
    </xf>
    <xf numFmtId="166" fontId="24" fillId="10" borderId="10" xfId="0" applyNumberFormat="1" applyFont="1" applyFill="1" applyBorder="1" applyAlignment="1">
      <alignment vertical="center"/>
    </xf>
    <xf numFmtId="2" fontId="33" fillId="10" borderId="10" xfId="0" applyNumberFormat="1" applyFont="1" applyFill="1" applyBorder="1" applyAlignment="1">
      <alignment vertical="center"/>
    </xf>
    <xf numFmtId="168" fontId="24" fillId="0" borderId="10" xfId="0" applyNumberFormat="1" applyFont="1" applyBorder="1" applyAlignment="1">
      <alignment vertical="center"/>
    </xf>
    <xf numFmtId="9" fontId="24" fillId="0" borderId="10" xfId="0" applyNumberFormat="1" applyFont="1" applyBorder="1" applyAlignment="1">
      <alignment vertical="center"/>
    </xf>
    <xf numFmtId="0" fontId="32" fillId="0" borderId="0" xfId="0" applyFont="1" applyAlignment="1">
      <alignment vertical="center"/>
    </xf>
    <xf numFmtId="0" fontId="39" fillId="0" borderId="11" xfId="0" applyFont="1" applyBorder="1" applyAlignment="1">
      <alignment horizontal="left" vertical="center"/>
    </xf>
    <xf numFmtId="0" fontId="39" fillId="0" borderId="10" xfId="0" applyFont="1" applyBorder="1" applyAlignment="1">
      <alignment vertical="center"/>
    </xf>
    <xf numFmtId="165" fontId="41" fillId="0" borderId="0" xfId="7" applyNumberFormat="1" applyFont="1" applyBorder="1" applyAlignment="1">
      <alignment horizontal="center" vertical="center"/>
    </xf>
    <xf numFmtId="43" fontId="41" fillId="0" borderId="0" xfId="7" applyNumberFormat="1" applyFont="1" applyBorder="1" applyAlignment="1">
      <alignment horizontal="center" vertical="center"/>
    </xf>
    <xf numFmtId="4" fontId="41" fillId="0" borderId="0" xfId="7" applyNumberFormat="1" applyFont="1" applyBorder="1" applyAlignment="1">
      <alignment horizontal="right" vertical="center"/>
    </xf>
    <xf numFmtId="4" fontId="41" fillId="0" borderId="0" xfId="0" applyNumberFormat="1" applyFont="1" applyAlignment="1">
      <alignment vertical="center"/>
    </xf>
    <xf numFmtId="0" fontId="42" fillId="0" borderId="0" xfId="0" applyFont="1"/>
    <xf numFmtId="0" fontId="41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1" fillId="0" borderId="0" xfId="0" quotePrefix="1" applyFont="1" applyAlignment="1">
      <alignment vertical="center"/>
    </xf>
    <xf numFmtId="2" fontId="41" fillId="0" borderId="0" xfId="0" applyNumberFormat="1" applyFont="1" applyAlignment="1">
      <alignment horizontal="left" vertical="center"/>
    </xf>
    <xf numFmtId="0" fontId="41" fillId="0" borderId="0" xfId="0" quotePrefix="1" applyFont="1" applyAlignment="1">
      <alignment horizontal="left" vertical="center"/>
    </xf>
    <xf numFmtId="4" fontId="41" fillId="0" borderId="0" xfId="2" applyNumberFormat="1" applyFont="1" applyBorder="1" applyAlignment="1">
      <alignment horizontal="right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4" fontId="43" fillId="0" borderId="2" xfId="1" applyNumberFormat="1" applyFont="1" applyBorder="1" applyAlignment="1">
      <alignment horizontal="right" vertical="center"/>
    </xf>
    <xf numFmtId="0" fontId="43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vertical="center"/>
    </xf>
    <xf numFmtId="4" fontId="43" fillId="0" borderId="10" xfId="1" applyNumberFormat="1" applyFont="1" applyBorder="1" applyAlignment="1">
      <alignment horizontal="right" vertical="center"/>
    </xf>
    <xf numFmtId="4" fontId="43" fillId="0" borderId="0" xfId="0" applyNumberFormat="1" applyFont="1" applyAlignment="1">
      <alignment vertical="center"/>
    </xf>
    <xf numFmtId="43" fontId="41" fillId="0" borderId="0" xfId="7" applyNumberFormat="1" applyFont="1" applyFill="1" applyBorder="1" applyAlignment="1">
      <alignment horizontal="center" vertical="center"/>
    </xf>
    <xf numFmtId="4" fontId="41" fillId="0" borderId="0" xfId="7" applyNumberFormat="1" applyFont="1" applyFill="1" applyBorder="1" applyAlignment="1">
      <alignment horizontal="right" vertical="center"/>
    </xf>
    <xf numFmtId="0" fontId="47" fillId="0" borderId="0" xfId="0" applyFont="1" applyAlignment="1">
      <alignment vertical="center"/>
    </xf>
    <xf numFmtId="39" fontId="12" fillId="9" borderId="20" xfId="8" applyNumberFormat="1" applyFont="1" applyFill="1" applyBorder="1"/>
    <xf numFmtId="0" fontId="44" fillId="0" borderId="0" xfId="0" applyFont="1" applyAlignment="1">
      <alignment vertical="center"/>
    </xf>
    <xf numFmtId="0" fontId="43" fillId="0" borderId="15" xfId="0" applyFont="1" applyBorder="1" applyAlignment="1">
      <alignment vertical="center"/>
    </xf>
    <xf numFmtId="0" fontId="43" fillId="0" borderId="54" xfId="0" quotePrefix="1" applyFont="1" applyBorder="1" applyAlignment="1">
      <alignment vertical="center"/>
    </xf>
    <xf numFmtId="171" fontId="43" fillId="0" borderId="57" xfId="0" quotePrefix="1" applyNumberFormat="1" applyFont="1" applyBorder="1" applyAlignment="1">
      <alignment vertical="center"/>
    </xf>
    <xf numFmtId="0" fontId="43" fillId="0" borderId="58" xfId="0" applyFont="1" applyBorder="1" applyAlignment="1">
      <alignment horizontal="center" vertical="center"/>
    </xf>
    <xf numFmtId="0" fontId="45" fillId="0" borderId="59" xfId="0" applyFont="1" applyBorder="1" applyAlignment="1">
      <alignment horizontal="left" vertical="center"/>
    </xf>
    <xf numFmtId="39" fontId="12" fillId="2" borderId="20" xfId="8" applyNumberFormat="1" applyFont="1" applyFill="1" applyBorder="1"/>
    <xf numFmtId="168" fontId="0" fillId="9" borderId="20" xfId="0" applyNumberFormat="1" applyFill="1" applyBorder="1"/>
    <xf numFmtId="0" fontId="2" fillId="0" borderId="0" xfId="0" applyFont="1" applyAlignment="1">
      <alignment horizontal="center"/>
    </xf>
    <xf numFmtId="4" fontId="40" fillId="0" borderId="0" xfId="0" applyNumberFormat="1" applyFont="1" applyAlignment="1">
      <alignment horizontal="left" vertical="center"/>
    </xf>
    <xf numFmtId="0" fontId="25" fillId="4" borderId="0" xfId="0" applyFont="1" applyFill="1" applyAlignment="1">
      <alignment horizontal="center" vertical="center"/>
    </xf>
    <xf numFmtId="164" fontId="12" fillId="2" borderId="23" xfId="8" applyFont="1" applyFill="1" applyBorder="1" applyAlignment="1">
      <alignment horizontal="center"/>
    </xf>
    <xf numFmtId="164" fontId="12" fillId="2" borderId="24" xfId="8" applyFont="1" applyFill="1" applyBorder="1" applyAlignment="1">
      <alignment horizontal="center"/>
    </xf>
    <xf numFmtId="0" fontId="12" fillId="2" borderId="23" xfId="10" applyFont="1" applyFill="1" applyBorder="1" applyAlignment="1">
      <alignment horizontal="center"/>
    </xf>
    <xf numFmtId="0" fontId="12" fillId="2" borderId="25" xfId="10" applyFont="1" applyFill="1" applyBorder="1" applyAlignment="1">
      <alignment horizontal="center"/>
    </xf>
    <xf numFmtId="164" fontId="15" fillId="0" borderId="21" xfId="8" applyFont="1" applyBorder="1" applyAlignment="1">
      <alignment horizontal="left"/>
    </xf>
    <xf numFmtId="164" fontId="15" fillId="0" borderId="0" xfId="8" applyFont="1" applyBorder="1" applyAlignment="1">
      <alignment horizontal="left"/>
    </xf>
    <xf numFmtId="164" fontId="12" fillId="0" borderId="0" xfId="8" applyFont="1" applyBorder="1" applyAlignment="1">
      <alignment vertical="center"/>
    </xf>
    <xf numFmtId="164" fontId="12" fillId="0" borderId="21" xfId="8" applyFont="1" applyBorder="1" applyAlignment="1">
      <alignment horizontal="center"/>
    </xf>
    <xf numFmtId="164" fontId="12" fillId="0" borderId="0" xfId="8" applyFont="1" applyBorder="1" applyAlignment="1">
      <alignment horizontal="center"/>
    </xf>
    <xf numFmtId="164" fontId="12" fillId="0" borderId="3" xfId="8" applyFont="1" applyBorder="1" applyAlignment="1">
      <alignment horizontal="center"/>
    </xf>
    <xf numFmtId="0" fontId="0" fillId="14" borderId="21" xfId="0" applyFill="1" applyBorder="1" applyAlignment="1">
      <alignment horizontal="center"/>
    </xf>
    <xf numFmtId="0" fontId="0" fillId="14" borderId="0" xfId="0" applyFill="1" applyAlignment="1">
      <alignment horizontal="center"/>
    </xf>
    <xf numFmtId="0" fontId="48" fillId="0" borderId="0" xfId="0" applyFont="1" applyAlignment="1">
      <alignment horizontal="left" vertical="center"/>
    </xf>
    <xf numFmtId="0" fontId="49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9" fillId="0" borderId="50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51" xfId="0" applyFont="1" applyBorder="1" applyAlignment="1">
      <alignment horizontal="center" vertical="center"/>
    </xf>
    <xf numFmtId="0" fontId="49" fillId="0" borderId="52" xfId="0" applyFont="1" applyBorder="1" applyAlignment="1">
      <alignment horizontal="center" vertical="center"/>
    </xf>
    <xf numFmtId="0" fontId="49" fillId="0" borderId="45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49" fillId="0" borderId="49" xfId="0" applyFont="1" applyBorder="1" applyAlignment="1">
      <alignment horizontal="center" vertical="center"/>
    </xf>
    <xf numFmtId="0" fontId="48" fillId="0" borderId="53" xfId="0" applyFont="1" applyBorder="1" applyAlignment="1">
      <alignment horizontal="center" vertical="center"/>
    </xf>
    <xf numFmtId="0" fontId="48" fillId="0" borderId="2" xfId="0" applyFont="1" applyBorder="1" applyAlignment="1">
      <alignment vertical="center"/>
    </xf>
    <xf numFmtId="4" fontId="48" fillId="0" borderId="2" xfId="1" applyNumberFormat="1" applyFont="1" applyBorder="1" applyAlignment="1">
      <alignment horizontal="right" vertical="center"/>
    </xf>
    <xf numFmtId="168" fontId="48" fillId="0" borderId="2" xfId="0" applyNumberFormat="1" applyFont="1" applyBorder="1" applyAlignment="1">
      <alignment horizontal="center" vertical="center"/>
    </xf>
    <xf numFmtId="0" fontId="48" fillId="0" borderId="55" xfId="0" applyFont="1" applyBorder="1" applyAlignment="1">
      <alignment horizontal="center" vertical="center"/>
    </xf>
    <xf numFmtId="0" fontId="48" fillId="0" borderId="10" xfId="0" applyFont="1" applyBorder="1" applyAlignment="1">
      <alignment vertical="center"/>
    </xf>
    <xf numFmtId="4" fontId="48" fillId="0" borderId="10" xfId="1" applyNumberFormat="1" applyFont="1" applyBorder="1" applyAlignment="1">
      <alignment horizontal="right" vertical="center"/>
    </xf>
    <xf numFmtId="0" fontId="48" fillId="0" borderId="10" xfId="0" applyFont="1" applyBorder="1" applyAlignment="1">
      <alignment horizontal="center" vertical="center"/>
    </xf>
    <xf numFmtId="43" fontId="48" fillId="0" borderId="10" xfId="1" applyFont="1" applyBorder="1" applyAlignment="1">
      <alignment vertical="center"/>
    </xf>
    <xf numFmtId="0" fontId="48" fillId="0" borderId="55" xfId="0" applyFont="1" applyBorder="1" applyAlignment="1">
      <alignment vertical="center"/>
    </xf>
    <xf numFmtId="0" fontId="48" fillId="0" borderId="56" xfId="0" applyFont="1" applyBorder="1" applyAlignment="1">
      <alignment vertical="center"/>
    </xf>
    <xf numFmtId="0" fontId="51" fillId="0" borderId="15" xfId="0" quotePrefix="1" applyFont="1" applyBorder="1" applyAlignment="1">
      <alignment vertical="center"/>
    </xf>
    <xf numFmtId="4" fontId="51" fillId="0" borderId="15" xfId="0" applyNumberFormat="1" applyFont="1" applyBorder="1" applyAlignment="1">
      <alignment vertical="center"/>
    </xf>
    <xf numFmtId="0" fontId="48" fillId="0" borderId="15" xfId="0" applyFont="1" applyBorder="1" applyAlignment="1">
      <alignment vertical="center"/>
    </xf>
    <xf numFmtId="0" fontId="48" fillId="0" borderId="41" xfId="0" applyFont="1" applyBorder="1" applyAlignment="1">
      <alignment horizontal="center" vertical="center"/>
    </xf>
    <xf numFmtId="0" fontId="48" fillId="0" borderId="42" xfId="0" applyFont="1" applyBorder="1" applyAlignment="1">
      <alignment horizontal="center" vertical="center"/>
    </xf>
    <xf numFmtId="0" fontId="48" fillId="0" borderId="43" xfId="0" applyFont="1" applyBorder="1" applyAlignment="1">
      <alignment horizontal="center" vertical="center"/>
    </xf>
    <xf numFmtId="4" fontId="48" fillId="0" borderId="44" xfId="0" applyNumberFormat="1" applyFont="1" applyBorder="1" applyAlignment="1">
      <alignment horizontal="right" vertical="center"/>
    </xf>
    <xf numFmtId="0" fontId="49" fillId="13" borderId="46" xfId="0" applyFont="1" applyFill="1" applyBorder="1" applyAlignment="1">
      <alignment horizontal="center" vertical="center"/>
    </xf>
    <xf numFmtId="0" fontId="49" fillId="13" borderId="47" xfId="0" applyFont="1" applyFill="1" applyBorder="1" applyAlignment="1">
      <alignment horizontal="center" vertical="center"/>
    </xf>
    <xf numFmtId="0" fontId="49" fillId="13" borderId="48" xfId="0" applyFont="1" applyFill="1" applyBorder="1" applyAlignment="1">
      <alignment horizontal="center" vertical="center"/>
    </xf>
    <xf numFmtId="4" fontId="49" fillId="13" borderId="49" xfId="1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4" fontId="48" fillId="0" borderId="0" xfId="0" applyNumberFormat="1" applyFont="1" applyAlignment="1">
      <alignment vertical="center"/>
    </xf>
    <xf numFmtId="0" fontId="50" fillId="0" borderId="0" xfId="0" applyFont="1" applyAlignment="1">
      <alignment horizontal="left" vertical="center"/>
    </xf>
    <xf numFmtId="0" fontId="48" fillId="0" borderId="0" xfId="0" applyFont="1" applyAlignment="1">
      <alignment vertical="top"/>
    </xf>
    <xf numFmtId="0" fontId="48" fillId="0" borderId="37" xfId="0" applyFont="1" applyBorder="1" applyAlignment="1">
      <alignment vertical="top"/>
    </xf>
    <xf numFmtId="4" fontId="48" fillId="0" borderId="22" xfId="0" applyNumberFormat="1" applyFont="1" applyBorder="1" applyAlignment="1">
      <alignment horizontal="right" vertical="top"/>
    </xf>
    <xf numFmtId="4" fontId="48" fillId="0" borderId="10" xfId="0" applyNumberFormat="1" applyFont="1" applyBorder="1" applyAlignment="1">
      <alignment horizontal="right" vertical="top"/>
    </xf>
    <xf numFmtId="0" fontId="48" fillId="0" borderId="10" xfId="0" applyFont="1" applyBorder="1" applyAlignment="1">
      <alignment vertical="top"/>
    </xf>
    <xf numFmtId="0" fontId="43" fillId="0" borderId="10" xfId="0" applyFont="1" applyBorder="1" applyAlignment="1">
      <alignment horizontal="left" vertical="center"/>
    </xf>
    <xf numFmtId="4" fontId="43" fillId="0" borderId="0" xfId="0" applyNumberFormat="1" applyFont="1" applyAlignment="1">
      <alignment horizontal="right" vertical="center"/>
    </xf>
    <xf numFmtId="43" fontId="44" fillId="0" borderId="0" xfId="1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4" fontId="44" fillId="0" borderId="0" xfId="0" applyNumberFormat="1" applyFont="1" applyAlignment="1">
      <alignment horizontal="right" vertical="center"/>
    </xf>
    <xf numFmtId="0" fontId="52" fillId="0" borderId="0" xfId="0" applyFont="1" applyAlignment="1">
      <alignment vertical="center"/>
    </xf>
    <xf numFmtId="0" fontId="44" fillId="0" borderId="4" xfId="0" applyFont="1" applyBorder="1" applyAlignment="1">
      <alignment vertical="center"/>
    </xf>
    <xf numFmtId="43" fontId="44" fillId="0" borderId="4" xfId="1" applyFont="1" applyBorder="1" applyAlignment="1">
      <alignment horizontal="left" vertical="center"/>
    </xf>
    <xf numFmtId="4" fontId="44" fillId="0" borderId="4" xfId="0" applyNumberFormat="1" applyFont="1" applyBorder="1" applyAlignment="1">
      <alignment vertical="center"/>
    </xf>
    <xf numFmtId="0" fontId="44" fillId="0" borderId="5" xfId="0" applyFont="1" applyBorder="1" applyAlignment="1">
      <alignment horizontal="center" vertical="center"/>
    </xf>
    <xf numFmtId="0" fontId="44" fillId="0" borderId="5" xfId="0" applyFont="1" applyBorder="1" applyAlignment="1">
      <alignment horizontal="center" vertical="center"/>
    </xf>
    <xf numFmtId="0" fontId="44" fillId="0" borderId="8" xfId="0" applyFont="1" applyBorder="1" applyAlignment="1">
      <alignment vertical="center"/>
    </xf>
    <xf numFmtId="0" fontId="44" fillId="0" borderId="9" xfId="0" applyFont="1" applyBorder="1" applyAlignment="1">
      <alignment vertical="center"/>
    </xf>
    <xf numFmtId="4" fontId="44" fillId="0" borderId="8" xfId="0" applyNumberFormat="1" applyFont="1" applyBorder="1" applyAlignment="1">
      <alignment horizontal="center" vertical="center"/>
    </xf>
    <xf numFmtId="4" fontId="44" fillId="0" borderId="9" xfId="0" applyNumberFormat="1" applyFont="1" applyBorder="1" applyAlignment="1">
      <alignment horizontal="center" vertical="center"/>
    </xf>
    <xf numFmtId="4" fontId="44" fillId="0" borderId="5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4" fontId="44" fillId="0" borderId="1" xfId="0" applyNumberFormat="1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/>
    </xf>
    <xf numFmtId="0" fontId="44" fillId="15" borderId="2" xfId="0" applyFont="1" applyFill="1" applyBorder="1" applyAlignment="1">
      <alignment horizontal="center" vertical="center"/>
    </xf>
    <xf numFmtId="4" fontId="43" fillId="0" borderId="2" xfId="0" applyNumberFormat="1" applyFont="1" applyBorder="1" applyAlignment="1">
      <alignment horizontal="right" vertical="center"/>
    </xf>
    <xf numFmtId="43" fontId="43" fillId="0" borderId="10" xfId="1" applyFont="1" applyBorder="1" applyAlignment="1">
      <alignment horizontal="right" vertical="center" shrinkToFit="1"/>
    </xf>
    <xf numFmtId="43" fontId="43" fillId="0" borderId="10" xfId="1" applyFont="1" applyBorder="1" applyAlignment="1">
      <alignment horizontal="center" vertical="center" shrinkToFit="1"/>
    </xf>
    <xf numFmtId="164" fontId="43" fillId="0" borderId="0" xfId="0" applyNumberFormat="1" applyFont="1" applyAlignment="1">
      <alignment vertical="center"/>
    </xf>
    <xf numFmtId="0" fontId="43" fillId="0" borderId="11" xfId="0" applyFont="1" applyBorder="1" applyAlignment="1">
      <alignment horizontal="left" vertical="center"/>
    </xf>
    <xf numFmtId="0" fontId="43" fillId="0" borderId="11" xfId="0" applyFont="1" applyBorder="1" applyAlignment="1">
      <alignment vertical="center"/>
    </xf>
    <xf numFmtId="4" fontId="43" fillId="7" borderId="0" xfId="0" applyNumberFormat="1" applyFont="1" applyFill="1" applyAlignment="1">
      <alignment vertical="center"/>
    </xf>
    <xf numFmtId="43" fontId="43" fillId="0" borderId="10" xfId="1" applyFont="1" applyFill="1" applyBorder="1" applyAlignment="1">
      <alignment horizontal="right" vertical="center" shrinkToFit="1"/>
    </xf>
    <xf numFmtId="43" fontId="43" fillId="0" borderId="10" xfId="1" applyFont="1" applyFill="1" applyBorder="1" applyAlignment="1">
      <alignment horizontal="center" vertical="center" shrinkToFit="1"/>
    </xf>
    <xf numFmtId="0" fontId="44" fillId="0" borderId="10" xfId="0" applyFont="1" applyBorder="1" applyAlignment="1">
      <alignment horizontal="center" vertical="center"/>
    </xf>
    <xf numFmtId="4" fontId="43" fillId="0" borderId="10" xfId="0" applyNumberFormat="1" applyFont="1" applyBorder="1" applyAlignment="1">
      <alignment horizontal="right" vertical="center" shrinkToFit="1"/>
    </xf>
    <xf numFmtId="2" fontId="43" fillId="0" borderId="10" xfId="0" applyNumberFormat="1" applyFont="1" applyBorder="1" applyAlignment="1">
      <alignment horizontal="center" vertical="center"/>
    </xf>
    <xf numFmtId="0" fontId="53" fillId="0" borderId="7" xfId="0" applyFont="1" applyBorder="1" applyAlignment="1">
      <alignment vertical="center"/>
    </xf>
    <xf numFmtId="4" fontId="43" fillId="0" borderId="10" xfId="0" applyNumberFormat="1" applyFont="1" applyBorder="1" applyAlignment="1">
      <alignment horizontal="right" vertical="center"/>
    </xf>
    <xf numFmtId="0" fontId="54" fillId="0" borderId="10" xfId="0" applyFont="1" applyBorder="1" applyAlignment="1">
      <alignment horizontal="center" vertical="center"/>
    </xf>
    <xf numFmtId="0" fontId="55" fillId="0" borderId="7" xfId="0" applyFont="1" applyBorder="1" applyAlignment="1">
      <alignment vertical="center"/>
    </xf>
    <xf numFmtId="0" fontId="56" fillId="0" borderId="7" xfId="0" applyFont="1" applyBorder="1" applyAlignment="1">
      <alignment horizontal="left" vertical="center"/>
    </xf>
    <xf numFmtId="0" fontId="56" fillId="0" borderId="7" xfId="0" applyFont="1" applyBorder="1" applyAlignment="1">
      <alignment vertical="center"/>
    </xf>
    <xf numFmtId="0" fontId="57" fillId="0" borderId="7" xfId="0" applyFont="1" applyBorder="1" applyAlignment="1">
      <alignment vertical="center"/>
    </xf>
    <xf numFmtId="0" fontId="43" fillId="0" borderId="15" xfId="0" applyFont="1" applyBorder="1" applyAlignment="1">
      <alignment horizontal="center" vertical="center"/>
    </xf>
    <xf numFmtId="4" fontId="43" fillId="0" borderId="15" xfId="0" applyNumberFormat="1" applyFont="1" applyBorder="1" applyAlignment="1">
      <alignment horizontal="right" vertical="center"/>
    </xf>
    <xf numFmtId="0" fontId="54" fillId="0" borderId="15" xfId="0" applyFont="1" applyBorder="1" applyAlignment="1">
      <alignment horizontal="center" vertical="center"/>
    </xf>
    <xf numFmtId="4" fontId="43" fillId="0" borderId="21" xfId="0" applyNumberFormat="1" applyFont="1" applyBorder="1" applyAlignment="1">
      <alignment horizontal="right" vertical="center" shrinkToFit="1"/>
    </xf>
    <xf numFmtId="0" fontId="43" fillId="0" borderId="13" xfId="0" applyFont="1" applyBorder="1" applyAlignment="1">
      <alignment horizontal="center" vertical="center"/>
    </xf>
    <xf numFmtId="0" fontId="43" fillId="0" borderId="13" xfId="0" applyFont="1" applyBorder="1" applyAlignment="1">
      <alignment vertical="center"/>
    </xf>
    <xf numFmtId="4" fontId="43" fillId="0" borderId="13" xfId="1" applyNumberFormat="1" applyFont="1" applyBorder="1" applyAlignment="1">
      <alignment horizontal="right" vertical="center"/>
    </xf>
    <xf numFmtId="0" fontId="54" fillId="0" borderId="13" xfId="0" applyFont="1" applyBorder="1" applyAlignment="1">
      <alignment vertical="center"/>
    </xf>
    <xf numFmtId="43" fontId="43" fillId="0" borderId="10" xfId="1" applyFont="1" applyBorder="1" applyAlignment="1">
      <alignment horizontal="center" vertical="center"/>
    </xf>
    <xf numFmtId="0" fontId="54" fillId="0" borderId="10" xfId="0" applyFont="1" applyBorder="1" applyAlignment="1">
      <alignment vertical="center"/>
    </xf>
    <xf numFmtId="0" fontId="43" fillId="0" borderId="61" xfId="0" applyFont="1" applyBorder="1" applyAlignment="1">
      <alignment vertical="center"/>
    </xf>
    <xf numFmtId="49" fontId="43" fillId="0" borderId="10" xfId="1" applyNumberFormat="1" applyFont="1" applyBorder="1" applyAlignment="1">
      <alignment horizontal="center" vertical="center"/>
    </xf>
    <xf numFmtId="0" fontId="58" fillId="0" borderId="10" xfId="0" applyFont="1" applyBorder="1" applyAlignment="1">
      <alignment vertical="center"/>
    </xf>
    <xf numFmtId="3" fontId="43" fillId="0" borderId="10" xfId="1" applyNumberFormat="1" applyFont="1" applyBorder="1" applyAlignment="1">
      <alignment horizontal="right" vertical="center"/>
    </xf>
    <xf numFmtId="4" fontId="58" fillId="0" borderId="10" xfId="0" applyNumberFormat="1" applyFont="1" applyBorder="1" applyAlignment="1">
      <alignment vertical="center"/>
    </xf>
    <xf numFmtId="0" fontId="44" fillId="15" borderId="10" xfId="0" applyFont="1" applyFill="1" applyBorder="1" applyAlignment="1">
      <alignment horizontal="center" vertical="center"/>
    </xf>
    <xf numFmtId="0" fontId="44" fillId="15" borderId="10" xfId="0" applyFont="1" applyFill="1" applyBorder="1" applyAlignment="1">
      <alignment horizontal="left" vertical="center"/>
    </xf>
    <xf numFmtId="0" fontId="43" fillId="0" borderId="17" xfId="0" applyFont="1" applyBorder="1" applyAlignment="1">
      <alignment vertical="center"/>
    </xf>
    <xf numFmtId="3" fontId="43" fillId="0" borderId="10" xfId="0" applyNumberFormat="1" applyFont="1" applyBorder="1" applyAlignment="1">
      <alignment horizontal="right" vertical="center"/>
    </xf>
    <xf numFmtId="4" fontId="43" fillId="0" borderId="15" xfId="1" applyNumberFormat="1" applyFont="1" applyBorder="1" applyAlignment="1">
      <alignment vertical="center"/>
    </xf>
    <xf numFmtId="43" fontId="43" fillId="0" borderId="15" xfId="1" applyFont="1" applyBorder="1" applyAlignment="1">
      <alignment horizontal="center" vertical="center"/>
    </xf>
    <xf numFmtId="4" fontId="58" fillId="0" borderId="15" xfId="0" applyNumberFormat="1" applyFont="1" applyBorder="1" applyAlignment="1">
      <alignment vertical="center"/>
    </xf>
    <xf numFmtId="0" fontId="43" fillId="13" borderId="20" xfId="0" applyFont="1" applyFill="1" applyBorder="1" applyAlignment="1">
      <alignment horizontal="center" vertical="center"/>
    </xf>
    <xf numFmtId="0" fontId="44" fillId="13" borderId="9" xfId="0" applyFont="1" applyFill="1" applyBorder="1" applyAlignment="1">
      <alignment horizontal="center" vertical="center"/>
    </xf>
    <xf numFmtId="43" fontId="59" fillId="13" borderId="20" xfId="1" applyFont="1" applyFill="1" applyBorder="1" applyAlignment="1">
      <alignment horizontal="center" vertical="center"/>
    </xf>
    <xf numFmtId="43" fontId="43" fillId="13" borderId="20" xfId="1" applyFont="1" applyFill="1" applyBorder="1" applyAlignment="1">
      <alignment horizontal="center" vertical="center"/>
    </xf>
    <xf numFmtId="4" fontId="43" fillId="13" borderId="20" xfId="1" applyNumberFormat="1" applyFont="1" applyFill="1" applyBorder="1" applyAlignment="1">
      <alignment horizontal="right" vertical="center"/>
    </xf>
    <xf numFmtId="4" fontId="44" fillId="13" borderId="20" xfId="1" applyNumberFormat="1" applyFont="1" applyFill="1" applyBorder="1" applyAlignment="1">
      <alignment horizontal="right" vertical="center"/>
    </xf>
    <xf numFmtId="0" fontId="54" fillId="13" borderId="9" xfId="0" applyFont="1" applyFill="1" applyBorder="1" applyAlignment="1">
      <alignment vertical="center"/>
    </xf>
    <xf numFmtId="0" fontId="43" fillId="0" borderId="20" xfId="0" applyFont="1" applyBorder="1" applyAlignment="1">
      <alignment horizontal="center" vertical="center"/>
    </xf>
    <xf numFmtId="0" fontId="44" fillId="0" borderId="9" xfId="0" applyFont="1" applyBorder="1" applyAlignment="1">
      <alignment horizontal="center" vertical="center"/>
    </xf>
    <xf numFmtId="43" fontId="59" fillId="0" borderId="20" xfId="1" applyFont="1" applyFill="1" applyBorder="1" applyAlignment="1">
      <alignment horizontal="center" vertical="center"/>
    </xf>
    <xf numFmtId="43" fontId="43" fillId="0" borderId="20" xfId="1" applyFont="1" applyFill="1" applyBorder="1" applyAlignment="1">
      <alignment horizontal="center" vertical="center"/>
    </xf>
    <xf numFmtId="4" fontId="43" fillId="0" borderId="20" xfId="1" applyNumberFormat="1" applyFont="1" applyFill="1" applyBorder="1" applyAlignment="1">
      <alignment horizontal="right" vertical="center"/>
    </xf>
    <xf numFmtId="4" fontId="44" fillId="0" borderId="20" xfId="1" applyNumberFormat="1" applyFont="1" applyFill="1" applyBorder="1" applyAlignment="1">
      <alignment horizontal="right" vertical="center"/>
    </xf>
    <xf numFmtId="0" fontId="54" fillId="0" borderId="9" xfId="0" applyFont="1" applyBorder="1" applyAlignment="1">
      <alignment vertical="center"/>
    </xf>
    <xf numFmtId="0" fontId="44" fillId="15" borderId="13" xfId="0" applyFont="1" applyFill="1" applyBorder="1" applyAlignment="1">
      <alignment horizontal="center" vertical="center"/>
    </xf>
    <xf numFmtId="0" fontId="44" fillId="15" borderId="13" xfId="0" applyFont="1" applyFill="1" applyBorder="1" applyAlignment="1">
      <alignment horizontal="left" vertical="center"/>
    </xf>
    <xf numFmtId="4" fontId="43" fillId="0" borderId="13" xfId="1" applyNumberFormat="1" applyFont="1" applyFill="1" applyBorder="1" applyAlignment="1">
      <alignment vertical="center"/>
    </xf>
    <xf numFmtId="43" fontId="43" fillId="0" borderId="13" xfId="1" applyFont="1" applyFill="1" applyBorder="1" applyAlignment="1">
      <alignment horizontal="center" vertical="center"/>
    </xf>
    <xf numFmtId="4" fontId="43" fillId="0" borderId="13" xfId="1" applyNumberFormat="1" applyFont="1" applyFill="1" applyBorder="1" applyAlignment="1">
      <alignment horizontal="right" vertical="center"/>
    </xf>
    <xf numFmtId="4" fontId="43" fillId="0" borderId="10" xfId="1" applyNumberFormat="1" applyFont="1" applyFill="1" applyBorder="1" applyAlignment="1">
      <alignment vertical="center"/>
    </xf>
    <xf numFmtId="43" fontId="43" fillId="0" borderId="10" xfId="1" applyFont="1" applyFill="1" applyBorder="1" applyAlignment="1">
      <alignment horizontal="center" vertical="center"/>
    </xf>
    <xf numFmtId="4" fontId="43" fillId="0" borderId="10" xfId="1" applyNumberFormat="1" applyFont="1" applyBorder="1" applyAlignment="1">
      <alignment vertical="center"/>
    </xf>
    <xf numFmtId="0" fontId="54" fillId="0" borderId="11" xfId="0" applyFont="1" applyBorder="1" applyAlignment="1">
      <alignment vertical="center"/>
    </xf>
    <xf numFmtId="3" fontId="43" fillId="0" borderId="10" xfId="1" applyNumberFormat="1" applyFont="1" applyBorder="1" applyAlignment="1">
      <alignment vertical="center"/>
    </xf>
    <xf numFmtId="0" fontId="43" fillId="0" borderId="12" xfId="0" applyFont="1" applyBorder="1" applyAlignment="1">
      <alignment vertical="center"/>
    </xf>
    <xf numFmtId="4" fontId="58" fillId="0" borderId="11" xfId="0" applyNumberFormat="1" applyFont="1" applyBorder="1" applyAlignment="1">
      <alignment vertical="center"/>
    </xf>
    <xf numFmtId="166" fontId="43" fillId="0" borderId="10" xfId="0" applyNumberFormat="1" applyFont="1" applyBorder="1" applyAlignment="1">
      <alignment horizontal="center" vertical="center"/>
    </xf>
    <xf numFmtId="0" fontId="43" fillId="0" borderId="18" xfId="0" applyFont="1" applyBorder="1" applyAlignment="1">
      <alignment vertical="center"/>
    </xf>
    <xf numFmtId="4" fontId="54" fillId="0" borderId="11" xfId="0" applyNumberFormat="1" applyFont="1" applyBorder="1" applyAlignment="1">
      <alignment vertical="center"/>
    </xf>
    <xf numFmtId="4" fontId="60" fillId="0" borderId="11" xfId="0" applyNumberFormat="1" applyFont="1" applyBorder="1" applyAlignment="1">
      <alignment vertical="center"/>
    </xf>
    <xf numFmtId="4" fontId="43" fillId="0" borderId="10" xfId="1" applyNumberFormat="1" applyFont="1" applyFill="1" applyBorder="1" applyAlignment="1">
      <alignment horizontal="right" vertical="center"/>
    </xf>
    <xf numFmtId="0" fontId="43" fillId="0" borderId="11" xfId="0" applyFont="1" applyBorder="1" applyAlignment="1">
      <alignment horizontal="center" vertical="center"/>
    </xf>
    <xf numFmtId="4" fontId="43" fillId="0" borderId="11" xfId="0" applyNumberFormat="1" applyFont="1" applyBorder="1" applyAlignment="1">
      <alignment vertical="center"/>
    </xf>
    <xf numFmtId="4" fontId="59" fillId="0" borderId="10" xfId="1" applyNumberFormat="1" applyFont="1" applyFill="1" applyBorder="1" applyAlignment="1">
      <alignment vertical="center"/>
    </xf>
    <xf numFmtId="0" fontId="43" fillId="0" borderId="16" xfId="0" applyFont="1" applyBorder="1" applyAlignment="1">
      <alignment horizontal="left" vertical="center"/>
    </xf>
    <xf numFmtId="0" fontId="54" fillId="0" borderId="16" xfId="0" applyFont="1" applyBorder="1" applyAlignment="1">
      <alignment vertical="center"/>
    </xf>
    <xf numFmtId="0" fontId="43" fillId="0" borderId="1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43" fontId="59" fillId="0" borderId="1" xfId="1" applyFont="1" applyFill="1" applyBorder="1" applyAlignment="1">
      <alignment horizontal="center" vertical="center"/>
    </xf>
    <xf numFmtId="43" fontId="43" fillId="0" borderId="1" xfId="1" applyFont="1" applyFill="1" applyBorder="1" applyAlignment="1">
      <alignment horizontal="center" vertical="center"/>
    </xf>
    <xf numFmtId="4" fontId="43" fillId="0" borderId="1" xfId="1" applyNumberFormat="1" applyFont="1" applyFill="1" applyBorder="1" applyAlignment="1">
      <alignment horizontal="right" vertical="center"/>
    </xf>
    <xf numFmtId="4" fontId="44" fillId="0" borderId="1" xfId="1" applyNumberFormat="1" applyFont="1" applyFill="1" applyBorder="1" applyAlignment="1">
      <alignment horizontal="right" vertical="center"/>
    </xf>
    <xf numFmtId="0" fontId="54" fillId="0" borderId="6" xfId="0" applyFont="1" applyBorder="1" applyAlignment="1">
      <alignment vertical="center"/>
    </xf>
    <xf numFmtId="4" fontId="43" fillId="0" borderId="13" xfId="1" applyNumberFormat="1" applyFont="1" applyBorder="1" applyAlignment="1">
      <alignment vertical="center"/>
    </xf>
    <xf numFmtId="43" fontId="43" fillId="0" borderId="13" xfId="1" applyFont="1" applyBorder="1" applyAlignment="1">
      <alignment horizontal="center" vertical="center"/>
    </xf>
    <xf numFmtId="0" fontId="54" fillId="0" borderId="14" xfId="0" applyFont="1" applyBorder="1" applyAlignment="1">
      <alignment vertical="center"/>
    </xf>
    <xf numFmtId="4" fontId="58" fillId="0" borderId="16" xfId="0" applyNumberFormat="1" applyFont="1" applyBorder="1" applyAlignment="1">
      <alignment vertical="center"/>
    </xf>
    <xf numFmtId="0" fontId="44" fillId="15" borderId="11" xfId="0" applyFont="1" applyFill="1" applyBorder="1" applyAlignment="1">
      <alignment horizontal="left" vertical="center"/>
    </xf>
    <xf numFmtId="4" fontId="59" fillId="0" borderId="10" xfId="1" applyNumberFormat="1" applyFont="1" applyFill="1" applyBorder="1" applyAlignment="1">
      <alignment horizontal="right" vertical="center"/>
    </xf>
    <xf numFmtId="43" fontId="59" fillId="0" borderId="10" xfId="1" applyFont="1" applyFill="1" applyBorder="1" applyAlignment="1">
      <alignment horizontal="center" vertical="center"/>
    </xf>
    <xf numFmtId="165" fontId="43" fillId="0" borderId="10" xfId="1" applyNumberFormat="1" applyFont="1" applyBorder="1" applyAlignment="1">
      <alignment horizontal="center" vertical="center"/>
    </xf>
    <xf numFmtId="0" fontId="43" fillId="0" borderId="40" xfId="0" applyFont="1" applyBorder="1" applyAlignment="1">
      <alignment vertical="center"/>
    </xf>
    <xf numFmtId="4" fontId="43" fillId="0" borderId="15" xfId="1" applyNumberFormat="1" applyFont="1" applyBorder="1" applyAlignment="1">
      <alignment horizontal="right" vertical="center"/>
    </xf>
    <xf numFmtId="0" fontId="43" fillId="0" borderId="39" xfId="0" applyFont="1" applyBorder="1" applyAlignment="1">
      <alignment vertical="center"/>
    </xf>
    <xf numFmtId="0" fontId="43" fillId="0" borderId="38" xfId="0" applyFont="1" applyBorder="1" applyAlignment="1">
      <alignment vertical="center"/>
    </xf>
    <xf numFmtId="0" fontId="58" fillId="0" borderId="11" xfId="0" applyFont="1" applyBorder="1" applyAlignment="1">
      <alignment vertical="center"/>
    </xf>
    <xf numFmtId="0" fontId="43" fillId="0" borderId="10" xfId="4" applyFont="1" applyBorder="1" applyAlignment="1">
      <alignment horizontal="left" vertical="center"/>
    </xf>
    <xf numFmtId="169" fontId="43" fillId="0" borderId="10" xfId="1" applyNumberFormat="1" applyFont="1" applyBorder="1" applyAlignment="1">
      <alignment vertical="center"/>
    </xf>
    <xf numFmtId="165" fontId="43" fillId="0" borderId="15" xfId="1" applyNumberFormat="1" applyFont="1" applyBorder="1" applyAlignment="1">
      <alignment horizontal="center" vertical="center"/>
    </xf>
    <xf numFmtId="43" fontId="59" fillId="0" borderId="13" xfId="1" applyFont="1" applyFill="1" applyBorder="1" applyAlignment="1">
      <alignment horizontal="center" vertical="center"/>
    </xf>
    <xf numFmtId="4" fontId="54" fillId="0" borderId="14" xfId="0" applyNumberFormat="1" applyFont="1" applyBorder="1" applyAlignment="1">
      <alignment vertical="center"/>
    </xf>
    <xf numFmtId="165" fontId="43" fillId="0" borderId="10" xfId="1" applyNumberFormat="1" applyFont="1" applyFill="1" applyBorder="1" applyAlignment="1">
      <alignment horizontal="center" vertical="center"/>
    </xf>
    <xf numFmtId="0" fontId="43" fillId="0" borderId="10" xfId="3" applyFont="1" applyBorder="1" applyAlignment="1">
      <alignment horizontal="center" vertical="center"/>
    </xf>
    <xf numFmtId="4" fontId="59" fillId="0" borderId="10" xfId="3" applyNumberFormat="1" applyFont="1" applyBorder="1" applyAlignment="1">
      <alignment vertical="center"/>
    </xf>
    <xf numFmtId="0" fontId="43" fillId="0" borderId="10" xfId="4" applyFont="1" applyBorder="1" applyAlignment="1">
      <alignment vertical="center"/>
    </xf>
    <xf numFmtId="0" fontId="43" fillId="0" borderId="10" xfId="4" applyFont="1" applyBorder="1" applyAlignment="1">
      <alignment horizontal="center" vertical="center"/>
    </xf>
    <xf numFmtId="0" fontId="61" fillId="0" borderId="11" xfId="5" applyFont="1" applyBorder="1" applyAlignment="1">
      <alignment vertical="center"/>
    </xf>
    <xf numFmtId="0" fontId="58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62" fillId="0" borderId="11" xfId="5" applyFont="1" applyBorder="1" applyAlignment="1">
      <alignment vertical="center"/>
    </xf>
    <xf numFmtId="2" fontId="43" fillId="0" borderId="10" xfId="3" applyNumberFormat="1" applyFont="1" applyBorder="1" applyAlignment="1">
      <alignment horizontal="center" vertical="center"/>
    </xf>
    <xf numFmtId="0" fontId="44" fillId="0" borderId="10" xfId="0" applyFont="1" applyBorder="1" applyAlignment="1">
      <alignment vertical="center"/>
    </xf>
    <xf numFmtId="170" fontId="43" fillId="0" borderId="10" xfId="1" applyNumberFormat="1" applyFont="1" applyBorder="1" applyAlignment="1">
      <alignment vertical="center"/>
    </xf>
    <xf numFmtId="164" fontId="43" fillId="0" borderId="10" xfId="1" applyNumberFormat="1" applyFont="1" applyBorder="1" applyAlignment="1">
      <alignment vertical="center"/>
    </xf>
    <xf numFmtId="4" fontId="59" fillId="0" borderId="11" xfId="3" applyNumberFormat="1" applyFont="1" applyBorder="1" applyAlignment="1">
      <alignment vertical="center"/>
    </xf>
    <xf numFmtId="0" fontId="44" fillId="0" borderId="10" xfId="4" applyFont="1" applyBorder="1" applyAlignment="1">
      <alignment horizontal="left" vertical="center"/>
    </xf>
    <xf numFmtId="0" fontId="43" fillId="0" borderId="15" xfId="4" applyFont="1" applyBorder="1" applyAlignment="1">
      <alignment horizontal="left" vertical="center"/>
    </xf>
    <xf numFmtId="169" fontId="43" fillId="0" borderId="15" xfId="1" applyNumberFormat="1" applyFont="1" applyBorder="1" applyAlignment="1">
      <alignment vertical="center"/>
    </xf>
    <xf numFmtId="0" fontId="43" fillId="0" borderId="21" xfId="0" applyFont="1" applyBorder="1" applyAlignment="1">
      <alignment vertical="center"/>
    </xf>
    <xf numFmtId="0" fontId="44" fillId="13" borderId="20" xfId="0" applyFont="1" applyFill="1" applyBorder="1" applyAlignment="1">
      <alignment horizontal="center" vertical="center"/>
    </xf>
    <xf numFmtId="0" fontId="54" fillId="13" borderId="20" xfId="0" applyFont="1" applyFill="1" applyBorder="1" applyAlignment="1">
      <alignment vertical="center"/>
    </xf>
    <xf numFmtId="4" fontId="43" fillId="0" borderId="6" xfId="1" applyNumberFormat="1" applyFont="1" applyFill="1" applyBorder="1" applyAlignment="1">
      <alignment horizontal="right" vertical="center"/>
    </xf>
    <xf numFmtId="0" fontId="44" fillId="0" borderId="13" xfId="4" applyFont="1" applyBorder="1" applyAlignment="1">
      <alignment horizontal="left" vertical="center"/>
    </xf>
    <xf numFmtId="0" fontId="43" fillId="0" borderId="13" xfId="3" applyFont="1" applyBorder="1" applyAlignment="1">
      <alignment horizontal="center" vertical="center"/>
    </xf>
    <xf numFmtId="0" fontId="43" fillId="0" borderId="13" xfId="4" applyFont="1" applyBorder="1" applyAlignment="1">
      <alignment horizontal="left" vertical="center"/>
    </xf>
    <xf numFmtId="4" fontId="59" fillId="0" borderId="13" xfId="3" applyNumberFormat="1" applyFont="1" applyBorder="1" applyAlignment="1">
      <alignment vertical="center"/>
    </xf>
    <xf numFmtId="0" fontId="43" fillId="0" borderId="2" xfId="3" applyFont="1" applyBorder="1" applyAlignment="1">
      <alignment horizontal="center" vertical="center"/>
    </xf>
    <xf numFmtId="0" fontId="43" fillId="0" borderId="3" xfId="4" applyFont="1" applyBorder="1" applyAlignment="1">
      <alignment horizontal="left" vertical="center"/>
    </xf>
    <xf numFmtId="164" fontId="43" fillId="0" borderId="2" xfId="1" applyNumberFormat="1" applyFont="1" applyBorder="1" applyAlignment="1">
      <alignment vertical="center"/>
    </xf>
    <xf numFmtId="43" fontId="43" fillId="0" borderId="2" xfId="1" applyFont="1" applyBorder="1" applyAlignment="1">
      <alignment horizontal="center" vertical="center"/>
    </xf>
    <xf numFmtId="43" fontId="43" fillId="0" borderId="2" xfId="1" applyFont="1" applyBorder="1" applyAlignment="1">
      <alignment horizontal="right" vertical="center"/>
    </xf>
    <xf numFmtId="4" fontId="59" fillId="0" borderId="3" xfId="3" applyNumberFormat="1" applyFont="1" applyBorder="1" applyAlignment="1">
      <alignment vertical="center"/>
    </xf>
    <xf numFmtId="0" fontId="44" fillId="15" borderId="11" xfId="0" applyFont="1" applyFill="1" applyBorder="1" applyAlignment="1">
      <alignment vertical="center"/>
    </xf>
    <xf numFmtId="0" fontId="44" fillId="0" borderId="11" xfId="0" applyFont="1" applyBorder="1" applyAlignment="1">
      <alignment vertical="center"/>
    </xf>
    <xf numFmtId="43" fontId="58" fillId="0" borderId="11" xfId="0" applyNumberFormat="1" applyFont="1" applyBorder="1" applyAlignment="1">
      <alignment vertical="center"/>
    </xf>
    <xf numFmtId="43" fontId="43" fillId="0" borderId="0" xfId="0" applyNumberFormat="1" applyFont="1" applyAlignment="1">
      <alignment vertical="center"/>
    </xf>
    <xf numFmtId="43" fontId="59" fillId="0" borderId="10" xfId="7" applyNumberFormat="1" applyFont="1" applyBorder="1" applyAlignment="1">
      <alignment horizontal="center" vertical="center"/>
    </xf>
    <xf numFmtId="43" fontId="43" fillId="0" borderId="10" xfId="7" applyNumberFormat="1" applyFont="1" applyBorder="1" applyAlignment="1">
      <alignment horizontal="center" vertical="center"/>
    </xf>
    <xf numFmtId="165" fontId="43" fillId="0" borderId="10" xfId="7" applyNumberFormat="1" applyFont="1" applyBorder="1" applyAlignment="1">
      <alignment horizontal="center" vertical="center"/>
    </xf>
    <xf numFmtId="0" fontId="43" fillId="0" borderId="0" xfId="0" applyFont="1"/>
    <xf numFmtId="0" fontId="63" fillId="0" borderId="11" xfId="0" applyFont="1" applyBorder="1" applyAlignment="1">
      <alignment vertical="center"/>
    </xf>
    <xf numFmtId="0" fontId="43" fillId="0" borderId="14" xfId="0" applyFont="1" applyBorder="1" applyAlignment="1">
      <alignment horizontal="left" vertical="center"/>
    </xf>
    <xf numFmtId="43" fontId="43" fillId="0" borderId="13" xfId="7" applyNumberFormat="1" applyFont="1" applyBorder="1" applyAlignment="1">
      <alignment horizontal="center" vertical="center"/>
    </xf>
    <xf numFmtId="0" fontId="63" fillId="0" borderId="16" xfId="0" applyFont="1" applyBorder="1" applyAlignment="1">
      <alignment vertical="center"/>
    </xf>
    <xf numFmtId="2" fontId="43" fillId="13" borderId="20" xfId="0" applyNumberFormat="1" applyFont="1" applyFill="1" applyBorder="1" applyAlignment="1">
      <alignment horizontal="center" vertical="center"/>
    </xf>
    <xf numFmtId="0" fontId="63" fillId="0" borderId="14" xfId="0" applyFont="1" applyBorder="1" applyAlignment="1">
      <alignment vertical="center"/>
    </xf>
    <xf numFmtId="4" fontId="63" fillId="0" borderId="11" xfId="0" applyNumberFormat="1" applyFont="1" applyBorder="1" applyAlignment="1">
      <alignment vertical="center"/>
    </xf>
    <xf numFmtId="165" fontId="63" fillId="0" borderId="10" xfId="7" applyNumberFormat="1" applyFont="1" applyBorder="1" applyAlignment="1">
      <alignment horizontal="center" vertical="center"/>
    </xf>
    <xf numFmtId="43" fontId="63" fillId="0" borderId="10" xfId="7" applyNumberFormat="1" applyFont="1" applyBorder="1" applyAlignment="1">
      <alignment horizontal="center" vertical="center"/>
    </xf>
    <xf numFmtId="0" fontId="64" fillId="0" borderId="11" xfId="0" applyFont="1" applyBorder="1" applyAlignment="1">
      <alignment vertical="center"/>
    </xf>
    <xf numFmtId="0" fontId="43" fillId="0" borderId="10" xfId="0" quotePrefix="1" applyFont="1" applyBorder="1" applyAlignment="1">
      <alignment vertical="center"/>
    </xf>
    <xf numFmtId="4" fontId="64" fillId="0" borderId="11" xfId="0" applyNumberFormat="1" applyFont="1" applyBorder="1" applyAlignment="1">
      <alignment vertical="center"/>
    </xf>
    <xf numFmtId="0" fontId="43" fillId="0" borderId="15" xfId="0" quotePrefix="1" applyFont="1" applyBorder="1" applyAlignment="1">
      <alignment vertical="center"/>
    </xf>
    <xf numFmtId="43" fontId="43" fillId="0" borderId="15" xfId="7" applyNumberFormat="1" applyFont="1" applyBorder="1" applyAlignment="1">
      <alignment horizontal="center" vertical="center"/>
    </xf>
    <xf numFmtId="0" fontId="43" fillId="0" borderId="13" xfId="0" quotePrefix="1" applyFont="1" applyBorder="1" applyAlignment="1">
      <alignment vertical="center"/>
    </xf>
    <xf numFmtId="165" fontId="43" fillId="0" borderId="2" xfId="7" applyNumberFormat="1" applyFont="1" applyBorder="1" applyAlignment="1">
      <alignment horizontal="center" vertical="center"/>
    </xf>
    <xf numFmtId="0" fontId="43" fillId="0" borderId="16" xfId="0" applyFont="1" applyBorder="1" applyAlignment="1">
      <alignment vertical="center"/>
    </xf>
    <xf numFmtId="43" fontId="43" fillId="0" borderId="1" xfId="1" applyFont="1" applyBorder="1" applyAlignment="1">
      <alignment horizontal="center" vertical="center"/>
    </xf>
    <xf numFmtId="4" fontId="43" fillId="0" borderId="1" xfId="1" applyNumberFormat="1" applyFont="1" applyBorder="1" applyAlignment="1">
      <alignment horizontal="right" vertical="center"/>
    </xf>
    <xf numFmtId="4" fontId="44" fillId="0" borderId="1" xfId="1" applyNumberFormat="1" applyFont="1" applyBorder="1" applyAlignment="1">
      <alignment horizontal="right" vertical="center"/>
    </xf>
    <xf numFmtId="0" fontId="54" fillId="0" borderId="1" xfId="0" applyFont="1" applyBorder="1" applyAlignment="1">
      <alignment vertical="center"/>
    </xf>
    <xf numFmtId="0" fontId="43" fillId="0" borderId="64" xfId="0" applyFont="1" applyBorder="1" applyAlignment="1">
      <alignment vertical="center"/>
    </xf>
    <xf numFmtId="4" fontId="43" fillId="0" borderId="10" xfId="7" applyNumberFormat="1" applyFont="1" applyBorder="1" applyAlignment="1">
      <alignment horizontal="right" vertical="center"/>
    </xf>
    <xf numFmtId="0" fontId="43" fillId="0" borderId="0" xfId="0" applyFont="1" applyBorder="1"/>
    <xf numFmtId="4" fontId="54" fillId="0" borderId="10" xfId="0" applyNumberFormat="1" applyFont="1" applyBorder="1" applyAlignment="1">
      <alignment vertical="center"/>
    </xf>
    <xf numFmtId="4" fontId="58" fillId="0" borderId="10" xfId="0" applyNumberFormat="1" applyFont="1" applyBorder="1" applyAlignment="1">
      <alignment horizontal="center" vertical="center"/>
    </xf>
    <xf numFmtId="0" fontId="43" fillId="0" borderId="10" xfId="0" quotePrefix="1" applyFont="1" applyBorder="1" applyAlignment="1">
      <alignment horizontal="left" vertical="center"/>
    </xf>
    <xf numFmtId="165" fontId="43" fillId="0" borderId="15" xfId="7" applyNumberFormat="1" applyFont="1" applyBorder="1" applyAlignment="1">
      <alignment horizontal="center" vertical="center"/>
    </xf>
    <xf numFmtId="43" fontId="43" fillId="0" borderId="62" xfId="7" applyNumberFormat="1" applyFont="1" applyBorder="1" applyAlignment="1">
      <alignment horizontal="center" vertical="center"/>
    </xf>
    <xf numFmtId="0" fontId="43" fillId="0" borderId="21" xfId="0" applyFont="1" applyBorder="1"/>
    <xf numFmtId="0" fontId="44" fillId="15" borderId="61" xfId="0" applyFont="1" applyFill="1" applyBorder="1" applyAlignment="1">
      <alignment horizontal="center" vertical="center"/>
    </xf>
    <xf numFmtId="0" fontId="44" fillId="15" borderId="61" xfId="0" applyFont="1" applyFill="1" applyBorder="1" applyAlignment="1">
      <alignment horizontal="left" vertical="center"/>
    </xf>
    <xf numFmtId="43" fontId="59" fillId="0" borderId="61" xfId="1" applyFont="1" applyFill="1" applyBorder="1" applyAlignment="1">
      <alignment horizontal="center" vertical="center"/>
    </xf>
    <xf numFmtId="4" fontId="58" fillId="0" borderId="15" xfId="0" applyNumberFormat="1" applyFont="1" applyBorder="1" applyAlignment="1">
      <alignment horizontal="center" vertical="center"/>
    </xf>
    <xf numFmtId="4" fontId="64" fillId="0" borderId="63" xfId="0" applyNumberFormat="1" applyFont="1" applyBorder="1" applyAlignment="1">
      <alignment vertical="center"/>
    </xf>
    <xf numFmtId="165" fontId="43" fillId="13" borderId="20" xfId="1" applyNumberFormat="1" applyFont="1" applyFill="1" applyBorder="1" applyAlignment="1">
      <alignment horizontal="center" vertical="center"/>
    </xf>
    <xf numFmtId="165" fontId="43" fillId="0" borderId="1" xfId="1" applyNumberFormat="1" applyFont="1" applyBorder="1" applyAlignment="1">
      <alignment horizontal="center" vertical="center"/>
    </xf>
    <xf numFmtId="0" fontId="44" fillId="0" borderId="15" xfId="0" applyFont="1" applyBorder="1" applyAlignment="1">
      <alignment horizontal="left" vertical="center"/>
    </xf>
    <xf numFmtId="4" fontId="46" fillId="0" borderId="10" xfId="0" applyNumberFormat="1" applyFont="1" applyBorder="1" applyAlignment="1">
      <alignment vertical="center"/>
    </xf>
    <xf numFmtId="2" fontId="43" fillId="0" borderId="15" xfId="0" applyNumberFormat="1" applyFont="1" applyBorder="1" applyAlignment="1">
      <alignment horizontal="center" vertical="center"/>
    </xf>
    <xf numFmtId="0" fontId="54" fillId="0" borderId="15" xfId="0" applyFont="1" applyBorder="1" applyAlignment="1">
      <alignment vertical="center"/>
    </xf>
    <xf numFmtId="0" fontId="58" fillId="0" borderId="16" xfId="0" applyFont="1" applyBorder="1" applyAlignment="1">
      <alignment vertical="center"/>
    </xf>
    <xf numFmtId="43" fontId="43" fillId="0" borderId="10" xfId="1" applyFont="1" applyBorder="1" applyAlignment="1">
      <alignment horizontal="right" vertical="center"/>
    </xf>
    <xf numFmtId="43" fontId="43" fillId="0" borderId="13" xfId="1" applyFont="1" applyBorder="1" applyAlignment="1">
      <alignment horizontal="right" vertical="center"/>
    </xf>
    <xf numFmtId="165" fontId="43" fillId="0" borderId="15" xfId="1" applyNumberFormat="1" applyFont="1" applyFill="1" applyBorder="1" applyAlignment="1">
      <alignment horizontal="center" vertical="center"/>
    </xf>
    <xf numFmtId="3" fontId="58" fillId="0" borderId="11" xfId="0" applyNumberFormat="1" applyFont="1" applyBorder="1" applyAlignment="1">
      <alignment vertical="center"/>
    </xf>
    <xf numFmtId="4" fontId="43" fillId="13" borderId="20" xfId="0" applyNumberFormat="1" applyFont="1" applyFill="1" applyBorder="1" applyAlignment="1">
      <alignment horizontal="right" vertical="center" shrinkToFit="1"/>
    </xf>
    <xf numFmtId="4" fontId="44" fillId="13" borderId="20" xfId="0" applyNumberFormat="1" applyFont="1" applyFill="1" applyBorder="1" applyAlignment="1">
      <alignment horizontal="center" vertical="center" shrinkToFit="1"/>
    </xf>
    <xf numFmtId="4" fontId="44" fillId="13" borderId="20" xfId="0" applyNumberFormat="1" applyFont="1" applyFill="1" applyBorder="1" applyAlignment="1">
      <alignment horizontal="right" vertical="center" shrinkToFit="1"/>
    </xf>
    <xf numFmtId="43" fontId="44" fillId="13" borderId="20" xfId="0" applyNumberFormat="1" applyFont="1" applyFill="1" applyBorder="1" applyAlignment="1">
      <alignment horizontal="center" vertical="center" shrinkToFit="1"/>
    </xf>
    <xf numFmtId="0" fontId="43" fillId="0" borderId="13" xfId="1" applyNumberFormat="1" applyFont="1" applyBorder="1" applyAlignment="1">
      <alignment horizontal="right" vertical="center"/>
    </xf>
    <xf numFmtId="0" fontId="44" fillId="15" borderId="20" xfId="0" applyFont="1" applyFill="1" applyBorder="1" applyAlignment="1">
      <alignment horizontal="center" vertical="center"/>
    </xf>
    <xf numFmtId="0" fontId="44" fillId="15" borderId="20" xfId="0" applyFont="1" applyFill="1" applyBorder="1" applyAlignment="1">
      <alignment vertical="center"/>
    </xf>
    <xf numFmtId="0" fontId="44" fillId="0" borderId="20" xfId="1" applyNumberFormat="1" applyFont="1" applyFill="1" applyBorder="1" applyAlignment="1">
      <alignment horizontal="center" vertical="center"/>
    </xf>
    <xf numFmtId="43" fontId="44" fillId="0" borderId="20" xfId="1" applyFont="1" applyFill="1" applyBorder="1" applyAlignment="1">
      <alignment horizontal="center" vertical="center"/>
    </xf>
    <xf numFmtId="0" fontId="54" fillId="0" borderId="20" xfId="0" applyFont="1" applyBorder="1" applyAlignment="1">
      <alignment vertical="center"/>
    </xf>
  </cellXfs>
  <cellStyles count="11">
    <cellStyle name="Comma 2" xfId="7" xr:uid="{00000000-0005-0000-0000-000000000000}"/>
    <cellStyle name="Hyperlink" xfId="5" builtinId="8"/>
    <cellStyle name="Normal 2" xfId="6" xr:uid="{00000000-0005-0000-0000-000002000000}"/>
    <cellStyle name="เครื่องหมายจุลภาค_Sheet1" xfId="2" xr:uid="{00000000-0005-0000-0000-000004000000}"/>
    <cellStyle name="เครื่องหมายจุลภาค_คำนวณค่าเฉลี่ย Factor-F_6%" xfId="8" xr:uid="{C7579B30-971D-4387-B855-A309F027BD24}"/>
    <cellStyle name="จุลภาค" xfId="1" builtinId="3"/>
    <cellStyle name="ปกติ" xfId="0" builtinId="0"/>
    <cellStyle name="ปกติ 6" xfId="9" xr:uid="{BF710369-007F-457D-B08C-9F46CF88A7B0}"/>
    <cellStyle name="ปกติ_Sheet1" xfId="3" xr:uid="{00000000-0005-0000-0000-000006000000}"/>
    <cellStyle name="ปกติ_Sheet1_1" xfId="4" xr:uid="{00000000-0005-0000-0000-000007000000}"/>
    <cellStyle name="ปกติ_คำนวณค่าเฉลี่ย Factor-F_6%" xfId="10" xr:uid="{0BF7EF48-49DF-494A-8A8E-C7A661EF1EFF}"/>
  </cellStyles>
  <dxfs count="0"/>
  <tableStyles count="0" defaultTableStyle="TableStyleMedium9" defaultPivotStyle="PivotStyleLight16"/>
  <colors>
    <mruColors>
      <color rgb="FFFDE9D9"/>
      <color rgb="FFCCFFFF"/>
      <color rgb="FFCCFF99"/>
      <color rgb="FF63252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1191103</xdr:colOff>
      <xdr:row>0</xdr:row>
      <xdr:rowOff>11904</xdr:rowOff>
    </xdr:from>
    <xdr:to>
      <xdr:col>2</xdr:col>
      <xdr:colOff>1607343</xdr:colOff>
      <xdr:row>1</xdr:row>
      <xdr:rowOff>178594</xdr:rowOff>
    </xdr:to>
    <xdr:pic>
      <xdr:nvPicPr>
        <xdr:cNvPr id="7438" name="Picture 1">
          <a:extLst>
            <a:ext uri="{FF2B5EF4-FFF2-40B4-BE49-F238E27FC236}">
              <a16:creationId xmlns:a16="http://schemas.microsoft.com/office/drawing/2014/main" id="{00000000-0008-0000-0100-00000E1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5291" y="11904"/>
          <a:ext cx="416240" cy="369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0</xdr:row>
      <xdr:rowOff>30480</xdr:rowOff>
    </xdr:from>
    <xdr:to>
      <xdr:col>1</xdr:col>
      <xdr:colOff>15240</xdr:colOff>
      <xdr:row>0</xdr:row>
      <xdr:rowOff>33528</xdr:rowOff>
    </xdr:to>
    <xdr:pic>
      <xdr:nvPicPr>
        <xdr:cNvPr id="14614" name="Picture 2">
          <a:extLst>
            <a:ext uri="{FF2B5EF4-FFF2-40B4-BE49-F238E27FC236}">
              <a16:creationId xmlns:a16="http://schemas.microsoft.com/office/drawing/2014/main" id="{00000000-0008-0000-0000-0000163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30480"/>
          <a:ext cx="44958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40969</xdr:colOff>
      <xdr:row>0</xdr:row>
      <xdr:rowOff>133145</xdr:rowOff>
    </xdr:from>
    <xdr:to>
      <xdr:col>0</xdr:col>
      <xdr:colOff>420290</xdr:colOff>
      <xdr:row>0</xdr:row>
      <xdr:rowOff>134913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9" y="133145"/>
          <a:ext cx="383893" cy="3789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41309</xdr:colOff>
      <xdr:row>0</xdr:row>
      <xdr:rowOff>111125</xdr:rowOff>
    </xdr:from>
    <xdr:to>
      <xdr:col>0</xdr:col>
      <xdr:colOff>420261</xdr:colOff>
      <xdr:row>2</xdr:row>
      <xdr:rowOff>148167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309" y="111125"/>
          <a:ext cx="378952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29"/>
  <sheetViews>
    <sheetView tabSelected="1" view="pageBreakPreview" zoomScale="120" zoomScaleNormal="93" zoomScaleSheetLayoutView="120" workbookViewId="0">
      <selection activeCell="B2" sqref="B2"/>
    </sheetView>
  </sheetViews>
  <sheetFormatPr defaultColWidth="8.81640625" defaultRowHeight="18" customHeight="1"/>
  <cols>
    <col min="1" max="1" width="7.26953125" style="134" customWidth="1"/>
    <col min="2" max="2" width="38" style="134" customWidth="1"/>
    <col min="3" max="3" width="24.81640625" style="134" customWidth="1"/>
    <col min="4" max="4" width="10.7265625" style="134" customWidth="1"/>
    <col min="5" max="5" width="24.54296875" style="134" customWidth="1"/>
    <col min="6" max="6" width="26.7265625" style="134" customWidth="1"/>
    <col min="7" max="7" width="11" style="134" customWidth="1"/>
    <col min="8" max="16384" width="8.81640625" style="134"/>
  </cols>
  <sheetData>
    <row r="1" spans="1:7" s="171" customFormat="1" ht="16" customHeight="1">
      <c r="F1" s="172" t="s">
        <v>75</v>
      </c>
    </row>
    <row r="2" spans="1:7" s="171" customFormat="1" ht="16" customHeight="1"/>
    <row r="3" spans="1:7" s="171" customFormat="1" ht="16" customHeight="1">
      <c r="A3" s="173" t="s">
        <v>667</v>
      </c>
      <c r="B3" s="173"/>
      <c r="C3" s="173"/>
      <c r="D3" s="173"/>
      <c r="E3" s="173"/>
      <c r="F3" s="173"/>
    </row>
    <row r="4" spans="1:7" s="171" customFormat="1" ht="16" customHeight="1">
      <c r="A4" s="173" t="s">
        <v>91</v>
      </c>
      <c r="B4" s="173"/>
      <c r="C4" s="173"/>
      <c r="D4" s="173"/>
      <c r="E4" s="173"/>
      <c r="F4" s="173"/>
    </row>
    <row r="5" spans="1:7" s="171" customFormat="1" ht="16" customHeight="1">
      <c r="A5" s="173" t="s">
        <v>647</v>
      </c>
      <c r="B5" s="173"/>
      <c r="C5" s="173"/>
      <c r="D5" s="173"/>
      <c r="E5" s="173"/>
      <c r="F5" s="173"/>
    </row>
    <row r="6" spans="1:7" s="171" customFormat="1" ht="16" customHeight="1">
      <c r="A6" s="173" t="s">
        <v>649</v>
      </c>
      <c r="B6" s="173"/>
      <c r="C6" s="173"/>
      <c r="D6" s="173"/>
      <c r="E6" s="173"/>
      <c r="F6" s="173"/>
    </row>
    <row r="7" spans="1:7" s="171" customFormat="1" ht="16" customHeight="1">
      <c r="A7" s="173" t="s">
        <v>90</v>
      </c>
      <c r="B7" s="173"/>
      <c r="C7" s="173"/>
      <c r="D7" s="173"/>
      <c r="E7" s="173"/>
      <c r="F7" s="173"/>
    </row>
    <row r="8" spans="1:7" s="171" customFormat="1" ht="16" customHeight="1">
      <c r="A8" s="173" t="s">
        <v>648</v>
      </c>
      <c r="B8" s="173"/>
      <c r="C8" s="173"/>
      <c r="D8" s="173"/>
      <c r="E8" s="173"/>
      <c r="F8" s="173"/>
    </row>
    <row r="9" spans="1:7" s="171" customFormat="1" ht="16" customHeight="1" thickBot="1">
      <c r="A9" s="173" t="s">
        <v>576</v>
      </c>
      <c r="B9" s="173"/>
      <c r="C9" s="173"/>
      <c r="D9" s="173"/>
      <c r="E9" s="173"/>
      <c r="F9" s="173"/>
    </row>
    <row r="10" spans="1:7" s="171" customFormat="1" ht="16" customHeight="1">
      <c r="A10" s="174" t="s">
        <v>4</v>
      </c>
      <c r="B10" s="175" t="s">
        <v>5</v>
      </c>
      <c r="C10" s="176" t="s">
        <v>76</v>
      </c>
      <c r="D10" s="175" t="s">
        <v>77</v>
      </c>
      <c r="E10" s="176" t="s">
        <v>78</v>
      </c>
      <c r="F10" s="177" t="s">
        <v>9</v>
      </c>
    </row>
    <row r="11" spans="1:7" s="171" customFormat="1" ht="16" customHeight="1" thickBot="1">
      <c r="A11" s="178"/>
      <c r="B11" s="179"/>
      <c r="C11" s="180" t="s">
        <v>79</v>
      </c>
      <c r="D11" s="179"/>
      <c r="E11" s="180" t="s">
        <v>79</v>
      </c>
      <c r="F11" s="181"/>
    </row>
    <row r="12" spans="1:7" s="171" customFormat="1" ht="16" customHeight="1">
      <c r="A12" s="182">
        <v>1</v>
      </c>
      <c r="B12" s="183" t="s">
        <v>80</v>
      </c>
      <c r="C12" s="184">
        <f>ปร4!I35-ปร4!I20-ปร4!I21</f>
        <v>10897210.791828161</v>
      </c>
      <c r="D12" s="185">
        <f>'ตาราง FACTOR F'!C14</f>
        <v>1.2897000000000001</v>
      </c>
      <c r="E12" s="184">
        <f>C12*D12</f>
        <v>14054132.758220781</v>
      </c>
      <c r="F12" s="151" t="s">
        <v>539</v>
      </c>
      <c r="G12" s="171">
        <f>'Factor F'!C17</f>
        <v>1.2897374686730394</v>
      </c>
    </row>
    <row r="13" spans="1:7" s="171" customFormat="1" ht="16" customHeight="1">
      <c r="A13" s="186">
        <v>2</v>
      </c>
      <c r="B13" s="187" t="s">
        <v>669</v>
      </c>
      <c r="C13" s="188">
        <f>ปร4!I20</f>
        <v>587590</v>
      </c>
      <c r="D13" s="189" t="s">
        <v>148</v>
      </c>
      <c r="E13" s="188">
        <f>C13*1.07</f>
        <v>628721.30000000005</v>
      </c>
      <c r="F13" s="148" t="s">
        <v>94</v>
      </c>
    </row>
    <row r="14" spans="1:7" s="171" customFormat="1" ht="16" customHeight="1">
      <c r="A14" s="186">
        <v>3</v>
      </c>
      <c r="B14" s="187" t="s">
        <v>633</v>
      </c>
      <c r="C14" s="188">
        <f>ปร4!I21</f>
        <v>726080</v>
      </c>
      <c r="D14" s="189" t="s">
        <v>148</v>
      </c>
      <c r="E14" s="190">
        <f>C14*1.07</f>
        <v>776905.60000000009</v>
      </c>
      <c r="F14" s="148" t="s">
        <v>95</v>
      </c>
    </row>
    <row r="15" spans="1:7" s="171" customFormat="1" ht="16" customHeight="1">
      <c r="A15" s="191"/>
      <c r="B15" s="187"/>
      <c r="C15" s="187"/>
      <c r="D15" s="187"/>
      <c r="E15" s="187"/>
      <c r="F15" s="148" t="s">
        <v>540</v>
      </c>
    </row>
    <row r="16" spans="1:7" s="171" customFormat="1" ht="16" customHeight="1" thickBot="1">
      <c r="A16" s="192"/>
      <c r="B16" s="193" t="s">
        <v>252</v>
      </c>
      <c r="C16" s="194"/>
      <c r="D16" s="195"/>
      <c r="E16" s="194"/>
      <c r="F16" s="148" t="s">
        <v>96</v>
      </c>
    </row>
    <row r="17" spans="1:10" s="171" customFormat="1" ht="16" customHeight="1">
      <c r="A17" s="174" t="s">
        <v>56</v>
      </c>
      <c r="B17" s="196" t="s">
        <v>178</v>
      </c>
      <c r="C17" s="197"/>
      <c r="D17" s="198"/>
      <c r="E17" s="199">
        <f>SUM(E12:E14)</f>
        <v>15459759.658220781</v>
      </c>
      <c r="F17" s="149" t="s">
        <v>521</v>
      </c>
    </row>
    <row r="18" spans="1:10" s="171" customFormat="1" ht="16" customHeight="1" thickBot="1">
      <c r="A18" s="178"/>
      <c r="B18" s="200" t="str">
        <f>BAHTTEXT(E18)</f>
        <v>สิบห้าล้านสี่แสนห้าหมื่นเก้าพันเจ็ดร้อยบาทถ้วน</v>
      </c>
      <c r="C18" s="201"/>
      <c r="D18" s="202"/>
      <c r="E18" s="203">
        <f>ROUNDDOWN(E17,-2)</f>
        <v>15459700</v>
      </c>
      <c r="F18" s="150" t="s">
        <v>522</v>
      </c>
      <c r="H18" s="171">
        <f>9.5*28*4</f>
        <v>1064</v>
      </c>
    </row>
    <row r="19" spans="1:10" s="171" customFormat="1" ht="16" customHeight="1">
      <c r="B19" s="204"/>
      <c r="C19" s="205"/>
      <c r="D19" s="204"/>
    </row>
    <row r="20" spans="1:10" s="171" customFormat="1" ht="16" customHeight="1">
      <c r="A20" s="206"/>
      <c r="B20" s="204"/>
      <c r="C20" s="205"/>
      <c r="D20" s="204"/>
      <c r="E20" s="171" t="s">
        <v>1</v>
      </c>
    </row>
    <row r="21" spans="1:10" s="171" customFormat="1" ht="16" customHeight="1">
      <c r="A21" s="207"/>
      <c r="B21" s="207"/>
      <c r="C21" s="207"/>
      <c r="D21" s="207"/>
      <c r="E21" s="207"/>
      <c r="F21" s="208"/>
      <c r="G21" s="209"/>
      <c r="H21" s="210"/>
      <c r="I21" s="210"/>
      <c r="J21" s="211"/>
    </row>
    <row r="22" spans="1:10" s="171" customFormat="1" ht="20" customHeight="1">
      <c r="A22" s="169"/>
      <c r="B22" s="170" t="s">
        <v>568</v>
      </c>
    </row>
    <row r="23" spans="1:10" s="171" customFormat="1" ht="20" customHeight="1">
      <c r="B23" s="171" t="s">
        <v>570</v>
      </c>
      <c r="C23" s="171" t="s">
        <v>571</v>
      </c>
      <c r="D23" s="171" t="s">
        <v>569</v>
      </c>
    </row>
    <row r="24" spans="1:10" s="171" customFormat="1" ht="20" customHeight="1">
      <c r="B24" s="171" t="s">
        <v>572</v>
      </c>
      <c r="C24" s="171" t="s">
        <v>573</v>
      </c>
      <c r="D24" s="171" t="s">
        <v>569</v>
      </c>
    </row>
    <row r="25" spans="1:10" s="171" customFormat="1" ht="20" customHeight="1">
      <c r="B25" s="171" t="s">
        <v>574</v>
      </c>
      <c r="C25" s="171" t="s">
        <v>573</v>
      </c>
      <c r="D25" s="171" t="s">
        <v>569</v>
      </c>
    </row>
    <row r="26" spans="1:10" s="171" customFormat="1" ht="20" customHeight="1">
      <c r="B26" s="171" t="s">
        <v>670</v>
      </c>
      <c r="C26" s="171" t="s">
        <v>573</v>
      </c>
      <c r="D26" s="171" t="s">
        <v>569</v>
      </c>
    </row>
    <row r="27" spans="1:10" s="171" customFormat="1" ht="20" customHeight="1">
      <c r="B27" s="171" t="s">
        <v>671</v>
      </c>
      <c r="C27" s="171" t="s">
        <v>575</v>
      </c>
      <c r="D27" s="171" t="s">
        <v>569</v>
      </c>
    </row>
    <row r="28" spans="1:10" s="171" customFormat="1" ht="16" customHeight="1"/>
    <row r="29" spans="1:10" s="171" customFormat="1" ht="16" customHeight="1"/>
  </sheetData>
  <mergeCells count="15">
    <mergeCell ref="A21:F21"/>
    <mergeCell ref="B18:D18"/>
    <mergeCell ref="A3:F3"/>
    <mergeCell ref="A7:F7"/>
    <mergeCell ref="A8:F8"/>
    <mergeCell ref="A9:F9"/>
    <mergeCell ref="A4:F4"/>
    <mergeCell ref="A5:F5"/>
    <mergeCell ref="A6:F6"/>
    <mergeCell ref="A10:A11"/>
    <mergeCell ref="B10:B11"/>
    <mergeCell ref="D10:D11"/>
    <mergeCell ref="F10:F11"/>
    <mergeCell ref="B17:D17"/>
    <mergeCell ref="A17:A18"/>
  </mergeCells>
  <phoneticPr fontId="0" type="noConversion"/>
  <pageMargins left="0.7" right="0.7" top="0.75" bottom="0.75" header="0.3" footer="0.3"/>
  <pageSetup paperSize="9" scale="99" fitToWidth="0" fitToHeight="0" orientation="landscape" horizontalDpi="4294967293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R344"/>
  <sheetViews>
    <sheetView zoomScale="120" zoomScaleNormal="120" zoomScaleSheetLayoutView="100" workbookViewId="0">
      <selection activeCell="B39" sqref="B39"/>
    </sheetView>
  </sheetViews>
  <sheetFormatPr defaultColWidth="8.81640625" defaultRowHeight="21"/>
  <cols>
    <col min="1" max="1" width="6.7265625" style="134" customWidth="1"/>
    <col min="2" max="2" width="37.26953125" style="134" customWidth="1"/>
    <col min="3" max="3" width="9.81640625" style="134" customWidth="1"/>
    <col min="4" max="4" width="5.7265625" style="134" customWidth="1"/>
    <col min="5" max="5" width="10" style="135" customWidth="1"/>
    <col min="6" max="6" width="13.26953125" style="135" customWidth="1"/>
    <col min="7" max="7" width="9.54296875" style="135" customWidth="1"/>
    <col min="8" max="8" width="13.26953125" style="135" customWidth="1"/>
    <col min="9" max="9" width="14.1796875" style="135" customWidth="1"/>
    <col min="10" max="10" width="13" style="134" customWidth="1"/>
    <col min="11" max="11" width="4.54296875" style="136" hidden="1" customWidth="1"/>
    <col min="12" max="12" width="10.7265625" style="134" hidden="1" customWidth="1"/>
    <col min="13" max="13" width="11.54296875" style="134" hidden="1" customWidth="1"/>
    <col min="14" max="15" width="10.7265625" style="134" hidden="1" customWidth="1"/>
    <col min="16" max="16" width="15.26953125" style="134" hidden="1" customWidth="1"/>
    <col min="17" max="17" width="0" style="134" hidden="1" customWidth="1"/>
    <col min="18" max="18" width="12.81640625" style="134" customWidth="1"/>
    <col min="19" max="16384" width="8.81640625" style="134"/>
  </cols>
  <sheetData>
    <row r="1" spans="1:18" ht="16" customHeight="1">
      <c r="B1" s="146" t="s">
        <v>642</v>
      </c>
      <c r="E1" s="213"/>
      <c r="F1" s="146" t="s">
        <v>641</v>
      </c>
      <c r="G1" s="213"/>
      <c r="H1" s="213"/>
      <c r="I1" s="213" t="s">
        <v>1</v>
      </c>
      <c r="J1" s="213"/>
    </row>
    <row r="2" spans="1:18" ht="16" customHeight="1">
      <c r="B2" s="146" t="s">
        <v>672</v>
      </c>
      <c r="E2" s="134"/>
      <c r="F2" s="214" t="s">
        <v>577</v>
      </c>
      <c r="G2" s="146"/>
      <c r="H2" s="146"/>
      <c r="I2" s="155" t="s">
        <v>578</v>
      </c>
      <c r="J2" s="155"/>
    </row>
    <row r="3" spans="1:18" ht="16" customHeight="1">
      <c r="A3" s="146"/>
      <c r="B3" s="146" t="s">
        <v>640</v>
      </c>
      <c r="C3" s="146"/>
      <c r="D3" s="146"/>
      <c r="E3" s="215"/>
      <c r="F3" s="215" t="s">
        <v>3</v>
      </c>
      <c r="G3" s="216"/>
      <c r="H3" s="216"/>
      <c r="I3" s="216" t="s">
        <v>1</v>
      </c>
      <c r="J3" s="217"/>
    </row>
    <row r="4" spans="1:18" ht="16" customHeight="1">
      <c r="B4" s="146" t="s">
        <v>643</v>
      </c>
      <c r="C4" s="218"/>
      <c r="D4" s="218"/>
      <c r="E4" s="219"/>
      <c r="F4" s="216"/>
      <c r="G4" s="216"/>
      <c r="H4" s="220"/>
      <c r="I4" s="220"/>
      <c r="J4" s="216"/>
    </row>
    <row r="5" spans="1:18" ht="16" customHeight="1">
      <c r="A5" s="221" t="s">
        <v>163</v>
      </c>
      <c r="B5" s="222" t="s">
        <v>5</v>
      </c>
      <c r="C5" s="222" t="s">
        <v>84</v>
      </c>
      <c r="D5" s="222" t="s">
        <v>6</v>
      </c>
      <c r="E5" s="223" t="s">
        <v>7</v>
      </c>
      <c r="F5" s="224"/>
      <c r="G5" s="225" t="s">
        <v>97</v>
      </c>
      <c r="H5" s="226"/>
      <c r="I5" s="227" t="s">
        <v>8</v>
      </c>
      <c r="J5" s="222" t="s">
        <v>9</v>
      </c>
      <c r="L5" s="134" t="s">
        <v>417</v>
      </c>
    </row>
    <row r="6" spans="1:18" ht="15.75" customHeight="1">
      <c r="A6" s="228" t="s">
        <v>2</v>
      </c>
      <c r="B6" s="229"/>
      <c r="C6" s="229"/>
      <c r="D6" s="229"/>
      <c r="E6" s="230" t="s">
        <v>10</v>
      </c>
      <c r="F6" s="230" t="s">
        <v>11</v>
      </c>
      <c r="G6" s="230" t="s">
        <v>10</v>
      </c>
      <c r="H6" s="230" t="s">
        <v>11</v>
      </c>
      <c r="I6" s="230" t="s">
        <v>12</v>
      </c>
      <c r="J6" s="229"/>
      <c r="L6" s="134" t="s">
        <v>251</v>
      </c>
      <c r="M6" s="134" t="s">
        <v>414</v>
      </c>
      <c r="N6" s="134" t="s">
        <v>251</v>
      </c>
      <c r="O6" s="134" t="s">
        <v>415</v>
      </c>
      <c r="P6" s="134" t="s">
        <v>416</v>
      </c>
    </row>
    <row r="7" spans="1:18" ht="16" customHeight="1">
      <c r="A7" s="231"/>
      <c r="B7" s="232" t="s">
        <v>13</v>
      </c>
      <c r="C7" s="231"/>
      <c r="D7" s="231"/>
      <c r="E7" s="233"/>
      <c r="F7" s="233"/>
      <c r="G7" s="233"/>
      <c r="H7" s="233"/>
      <c r="I7" s="233"/>
      <c r="J7" s="232" t="s">
        <v>639</v>
      </c>
    </row>
    <row r="8" spans="1:18" ht="16" customHeight="1">
      <c r="A8" s="138">
        <v>1</v>
      </c>
      <c r="B8" s="212" t="s">
        <v>98</v>
      </c>
      <c r="C8" s="138"/>
      <c r="D8" s="138" t="s">
        <v>14</v>
      </c>
      <c r="E8" s="234"/>
      <c r="F8" s="235" t="s">
        <v>579</v>
      </c>
      <c r="G8" s="234"/>
      <c r="H8" s="235" t="s">
        <v>579</v>
      </c>
      <c r="I8" s="234">
        <f>SUM(I37:I43)</f>
        <v>494783.13280000002</v>
      </c>
      <c r="J8" s="235">
        <f>(I8/I35)*100</f>
        <v>4.051985612136364</v>
      </c>
      <c r="R8" s="236"/>
    </row>
    <row r="9" spans="1:18" ht="16" customHeight="1">
      <c r="A9" s="138">
        <v>2</v>
      </c>
      <c r="B9" s="212" t="s">
        <v>99</v>
      </c>
      <c r="C9" s="138"/>
      <c r="D9" s="138" t="s">
        <v>14</v>
      </c>
      <c r="E9" s="234"/>
      <c r="F9" s="235" t="s">
        <v>579</v>
      </c>
      <c r="G9" s="234"/>
      <c r="H9" s="235" t="s">
        <v>579</v>
      </c>
      <c r="I9" s="234">
        <f>SUM(I45:I64)</f>
        <v>2329299.7064999994</v>
      </c>
      <c r="J9" s="235">
        <f>(I9/I35)*100</f>
        <v>19.075607617583387</v>
      </c>
      <c r="R9" s="236"/>
    </row>
    <row r="10" spans="1:18" ht="16" customHeight="1">
      <c r="A10" s="138">
        <v>3</v>
      </c>
      <c r="B10" s="212" t="s">
        <v>100</v>
      </c>
      <c r="C10" s="138"/>
      <c r="D10" s="138" t="s">
        <v>14</v>
      </c>
      <c r="E10" s="234"/>
      <c r="F10" s="235" t="s">
        <v>579</v>
      </c>
      <c r="G10" s="234"/>
      <c r="H10" s="235" t="s">
        <v>579</v>
      </c>
      <c r="I10" s="234">
        <f>SUM(I68:I81)</f>
        <v>364916.3456</v>
      </c>
      <c r="J10" s="235">
        <f>(I10/I35)*100</f>
        <v>2.9884522813801566</v>
      </c>
      <c r="R10" s="236"/>
    </row>
    <row r="11" spans="1:18" ht="16" customHeight="1">
      <c r="A11" s="138">
        <v>4</v>
      </c>
      <c r="B11" s="212" t="s">
        <v>101</v>
      </c>
      <c r="C11" s="138"/>
      <c r="D11" s="138" t="s">
        <v>14</v>
      </c>
      <c r="E11" s="234"/>
      <c r="F11" s="235" t="s">
        <v>579</v>
      </c>
      <c r="G11" s="234"/>
      <c r="H11" s="235" t="s">
        <v>579</v>
      </c>
      <c r="I11" s="234">
        <f>SUM(I83:I86)</f>
        <v>216597</v>
      </c>
      <c r="J11" s="235">
        <f>(I11/I35)*100</f>
        <v>1.7738032472231842</v>
      </c>
      <c r="R11" s="236"/>
    </row>
    <row r="12" spans="1:18" ht="16" customHeight="1">
      <c r="A12" s="138">
        <v>5</v>
      </c>
      <c r="B12" s="212" t="s">
        <v>102</v>
      </c>
      <c r="C12" s="138"/>
      <c r="D12" s="138" t="s">
        <v>14</v>
      </c>
      <c r="E12" s="234"/>
      <c r="F12" s="235" t="s">
        <v>579</v>
      </c>
      <c r="G12" s="234"/>
      <c r="H12" s="235" t="s">
        <v>579</v>
      </c>
      <c r="I12" s="234">
        <f>SUM(I89:I93,I96:I101)</f>
        <v>1371112.7132999999</v>
      </c>
      <c r="J12" s="235">
        <f>(I12/I35)*100</f>
        <v>11.228614353663859</v>
      </c>
      <c r="R12" s="236"/>
    </row>
    <row r="13" spans="1:18" ht="16" customHeight="1">
      <c r="A13" s="138">
        <v>6</v>
      </c>
      <c r="B13" s="237" t="s">
        <v>103</v>
      </c>
      <c r="C13" s="138"/>
      <c r="D13" s="138" t="s">
        <v>14</v>
      </c>
      <c r="E13" s="234"/>
      <c r="F13" s="235" t="s">
        <v>579</v>
      </c>
      <c r="G13" s="234"/>
      <c r="H13" s="235" t="s">
        <v>579</v>
      </c>
      <c r="I13" s="234">
        <f>SUM(I103:I113)</f>
        <v>1820172.3232000002</v>
      </c>
      <c r="J13" s="235">
        <f>(I13/I35)*100</f>
        <v>14.90615095037294</v>
      </c>
      <c r="R13" s="236"/>
    </row>
    <row r="14" spans="1:18" ht="16" customHeight="1">
      <c r="A14" s="138">
        <v>7</v>
      </c>
      <c r="B14" s="212" t="s">
        <v>597</v>
      </c>
      <c r="C14" s="138"/>
      <c r="D14" s="138" t="s">
        <v>14</v>
      </c>
      <c r="E14" s="234"/>
      <c r="F14" s="235" t="s">
        <v>579</v>
      </c>
      <c r="G14" s="234"/>
      <c r="H14" s="235" t="s">
        <v>579</v>
      </c>
      <c r="I14" s="234">
        <f>SUM(I115:I122,I125:I129)</f>
        <v>1396054.4</v>
      </c>
      <c r="J14" s="235">
        <f>(I14/I35)*100</f>
        <v>11.432872237474268</v>
      </c>
      <c r="R14" s="236"/>
    </row>
    <row r="15" spans="1:18" ht="16" customHeight="1">
      <c r="A15" s="138">
        <v>8</v>
      </c>
      <c r="B15" s="212" t="s">
        <v>105</v>
      </c>
      <c r="C15" s="138"/>
      <c r="D15" s="138" t="s">
        <v>14</v>
      </c>
      <c r="E15" s="234"/>
      <c r="F15" s="235" t="s">
        <v>579</v>
      </c>
      <c r="G15" s="234"/>
      <c r="H15" s="235" t="s">
        <v>579</v>
      </c>
      <c r="I15" s="234">
        <f>SUM(I131:I134)</f>
        <v>469393</v>
      </c>
      <c r="J15" s="235">
        <f>(I15/I35)*100</f>
        <v>3.8440552160179142</v>
      </c>
      <c r="R15" s="236"/>
    </row>
    <row r="16" spans="1:18" ht="16" customHeight="1">
      <c r="A16" s="138">
        <v>9</v>
      </c>
      <c r="B16" s="212" t="s">
        <v>106</v>
      </c>
      <c r="C16" s="138"/>
      <c r="D16" s="138" t="s">
        <v>14</v>
      </c>
      <c r="E16" s="234"/>
      <c r="F16" s="235" t="s">
        <v>579</v>
      </c>
      <c r="G16" s="234"/>
      <c r="H16" s="235" t="s">
        <v>579</v>
      </c>
      <c r="I16" s="234">
        <f>SUM(I136:I152)</f>
        <v>283510.88</v>
      </c>
      <c r="J16" s="235">
        <f>(I16/I35)*100</f>
        <v>2.3217889424465827</v>
      </c>
      <c r="R16" s="236"/>
    </row>
    <row r="17" spans="1:18" ht="16" customHeight="1">
      <c r="A17" s="138">
        <v>10</v>
      </c>
      <c r="B17" s="212" t="s">
        <v>107</v>
      </c>
      <c r="C17" s="138"/>
      <c r="D17" s="138" t="s">
        <v>14</v>
      </c>
      <c r="E17" s="234"/>
      <c r="F17" s="235" t="s">
        <v>579</v>
      </c>
      <c r="G17" s="234"/>
      <c r="H17" s="235" t="s">
        <v>579</v>
      </c>
      <c r="I17" s="234">
        <f>SUM(I156:I180,I185:I188)</f>
        <v>471378.35042816005</v>
      </c>
      <c r="J17" s="235">
        <f>(I17/I35)*100</f>
        <v>3.8603140794202058</v>
      </c>
      <c r="R17" s="236"/>
    </row>
    <row r="18" spans="1:18" ht="16" customHeight="1">
      <c r="A18" s="138">
        <v>11</v>
      </c>
      <c r="B18" s="238" t="s">
        <v>108</v>
      </c>
      <c r="C18" s="138"/>
      <c r="D18" s="138" t="s">
        <v>14</v>
      </c>
      <c r="E18" s="234"/>
      <c r="F18" s="235" t="s">
        <v>579</v>
      </c>
      <c r="G18" s="234"/>
      <c r="H18" s="235" t="s">
        <v>579</v>
      </c>
      <c r="I18" s="234">
        <f>SUM(I192:I200)</f>
        <v>100031.09</v>
      </c>
      <c r="J18" s="235">
        <f>(I18/I35)*100</f>
        <v>0.81919635205138852</v>
      </c>
      <c r="R18" s="236"/>
    </row>
    <row r="19" spans="1:18" ht="16" customHeight="1">
      <c r="A19" s="138">
        <v>12</v>
      </c>
      <c r="B19" s="212" t="s">
        <v>665</v>
      </c>
      <c r="C19" s="138"/>
      <c r="D19" s="138" t="s">
        <v>14</v>
      </c>
      <c r="E19" s="234"/>
      <c r="F19" s="235" t="s">
        <v>579</v>
      </c>
      <c r="G19" s="234"/>
      <c r="H19" s="235" t="s">
        <v>579</v>
      </c>
      <c r="I19" s="234">
        <f>SUM(I204:I211,I214:I242,I247:I271)</f>
        <v>1579961.8499999999</v>
      </c>
      <c r="J19" s="235">
        <f>(I19/I35)*100</f>
        <v>12.938967114127847</v>
      </c>
      <c r="N19" s="134" t="s">
        <v>418</v>
      </c>
      <c r="P19" s="239">
        <f>SUM(I8:I19)</f>
        <v>10897210.791828161</v>
      </c>
      <c r="R19" s="236"/>
    </row>
    <row r="20" spans="1:18" ht="16" customHeight="1">
      <c r="A20" s="138">
        <v>13</v>
      </c>
      <c r="B20" s="212" t="s">
        <v>170</v>
      </c>
      <c r="C20" s="138"/>
      <c r="D20" s="138" t="s">
        <v>14</v>
      </c>
      <c r="E20" s="234"/>
      <c r="F20" s="235" t="s">
        <v>579</v>
      </c>
      <c r="G20" s="234"/>
      <c r="H20" s="235" t="s">
        <v>579</v>
      </c>
      <c r="I20" s="234">
        <f>SUM(I273:I275,I278:I295)</f>
        <v>587590</v>
      </c>
      <c r="J20" s="235">
        <f>(I20/I35)*100</f>
        <v>4.8120197880666442</v>
      </c>
      <c r="R20" s="236"/>
    </row>
    <row r="21" spans="1:18" ht="16" customHeight="1">
      <c r="A21" s="138">
        <v>14</v>
      </c>
      <c r="B21" s="212" t="s">
        <v>633</v>
      </c>
      <c r="C21" s="138"/>
      <c r="D21" s="138" t="s">
        <v>14</v>
      </c>
      <c r="E21" s="240"/>
      <c r="F21" s="241" t="s">
        <v>579</v>
      </c>
      <c r="G21" s="240"/>
      <c r="H21" s="241" t="s">
        <v>579</v>
      </c>
      <c r="I21" s="240">
        <f>SUM(I297:I304)</f>
        <v>726080</v>
      </c>
      <c r="J21" s="241">
        <f>(I21/I35)*100</f>
        <v>5.946172208035243</v>
      </c>
      <c r="R21" s="236"/>
    </row>
    <row r="22" spans="1:18" ht="16" customHeight="1">
      <c r="A22" s="138"/>
      <c r="B22" s="242" t="s">
        <v>661</v>
      </c>
      <c r="C22" s="138"/>
      <c r="D22" s="138"/>
      <c r="E22" s="243"/>
      <c r="F22" s="243"/>
      <c r="G22" s="243"/>
      <c r="H22" s="243"/>
      <c r="I22" s="243"/>
      <c r="J22" s="244"/>
    </row>
    <row r="23" spans="1:18" ht="16" customHeight="1">
      <c r="A23" s="138"/>
      <c r="B23" s="245"/>
      <c r="C23" s="138"/>
      <c r="D23" s="138"/>
      <c r="E23" s="246"/>
      <c r="F23" s="246"/>
      <c r="G23" s="246"/>
      <c r="H23" s="246"/>
      <c r="I23" s="246"/>
      <c r="J23" s="247"/>
    </row>
    <row r="24" spans="1:18" ht="16" customHeight="1">
      <c r="A24" s="138"/>
      <c r="B24" s="248"/>
      <c r="C24" s="138"/>
      <c r="D24" s="138"/>
      <c r="E24" s="246"/>
      <c r="F24" s="246"/>
      <c r="G24" s="246"/>
      <c r="H24" s="246"/>
      <c r="I24" s="246"/>
      <c r="J24" s="247"/>
    </row>
    <row r="25" spans="1:18" ht="16" customHeight="1">
      <c r="A25" s="138"/>
      <c r="B25" s="249"/>
      <c r="C25" s="138"/>
      <c r="D25" s="138"/>
      <c r="E25" s="246"/>
      <c r="F25" s="246"/>
      <c r="G25" s="246"/>
      <c r="H25" s="246"/>
      <c r="I25" s="246"/>
      <c r="J25" s="247"/>
    </row>
    <row r="26" spans="1:18" ht="16" customHeight="1">
      <c r="A26" s="138"/>
      <c r="B26" s="249"/>
      <c r="C26" s="138"/>
      <c r="D26" s="138"/>
      <c r="E26" s="246"/>
      <c r="F26" s="246"/>
      <c r="G26" s="246"/>
      <c r="H26" s="246"/>
      <c r="I26" s="246"/>
      <c r="J26" s="247"/>
    </row>
    <row r="27" spans="1:18" ht="16" customHeight="1">
      <c r="A27" s="138"/>
      <c r="B27" s="249"/>
      <c r="C27" s="138"/>
      <c r="D27" s="138"/>
      <c r="E27" s="246"/>
      <c r="F27" s="246"/>
      <c r="G27" s="246"/>
      <c r="H27" s="246"/>
      <c r="I27" s="246"/>
      <c r="J27" s="247"/>
    </row>
    <row r="28" spans="1:18" ht="16" customHeight="1">
      <c r="A28" s="138"/>
      <c r="B28" s="250"/>
      <c r="C28" s="138"/>
      <c r="D28" s="138"/>
      <c r="E28" s="246"/>
      <c r="F28" s="246"/>
      <c r="G28" s="246"/>
      <c r="H28" s="246"/>
      <c r="I28" s="246"/>
      <c r="J28" s="247"/>
    </row>
    <row r="29" spans="1:18" ht="16" customHeight="1">
      <c r="A29" s="138"/>
      <c r="B29" s="248"/>
      <c r="C29" s="138"/>
      <c r="D29" s="138"/>
      <c r="E29" s="246"/>
      <c r="F29" s="246"/>
      <c r="G29" s="246"/>
      <c r="H29" s="246"/>
      <c r="I29" s="246"/>
      <c r="J29" s="247"/>
    </row>
    <row r="30" spans="1:18" ht="16" customHeight="1">
      <c r="A30" s="138"/>
      <c r="B30" s="248"/>
      <c r="C30" s="138"/>
      <c r="D30" s="138"/>
      <c r="E30" s="246"/>
      <c r="F30" s="246"/>
      <c r="G30" s="246"/>
      <c r="H30" s="246"/>
      <c r="I30" s="246"/>
      <c r="J30" s="247"/>
    </row>
    <row r="31" spans="1:18" ht="16" customHeight="1">
      <c r="A31" s="138"/>
      <c r="B31" s="251"/>
      <c r="C31" s="138"/>
      <c r="D31" s="138"/>
      <c r="E31" s="246"/>
      <c r="F31" s="246"/>
      <c r="G31" s="246"/>
      <c r="H31" s="246"/>
      <c r="I31" s="246"/>
      <c r="J31" s="247"/>
    </row>
    <row r="32" spans="1:18" ht="16" customHeight="1">
      <c r="A32" s="138"/>
      <c r="B32" s="248"/>
      <c r="C32" s="138"/>
      <c r="D32" s="138"/>
      <c r="E32" s="246"/>
      <c r="F32" s="246"/>
      <c r="G32" s="246"/>
      <c r="H32" s="246"/>
      <c r="I32" s="246"/>
      <c r="J32" s="247"/>
    </row>
    <row r="33" spans="1:18" ht="16" customHeight="1">
      <c r="A33" s="138"/>
      <c r="B33" s="251"/>
      <c r="C33" s="138"/>
      <c r="D33" s="138"/>
      <c r="E33" s="246"/>
      <c r="F33" s="246"/>
      <c r="G33" s="246"/>
      <c r="H33" s="246"/>
      <c r="I33" s="246"/>
      <c r="J33" s="247"/>
    </row>
    <row r="34" spans="1:18" ht="16" customHeight="1">
      <c r="A34" s="252"/>
      <c r="B34" s="147"/>
      <c r="C34" s="252"/>
      <c r="D34" s="252"/>
      <c r="E34" s="253"/>
      <c r="F34" s="253"/>
      <c r="G34" s="253"/>
      <c r="H34" s="253"/>
      <c r="I34" s="253"/>
      <c r="J34" s="254"/>
    </row>
    <row r="35" spans="1:18" ht="15.4" customHeight="1">
      <c r="A35" s="274"/>
      <c r="B35" s="353" t="s">
        <v>15</v>
      </c>
      <c r="C35" s="274"/>
      <c r="D35" s="274"/>
      <c r="E35" s="420"/>
      <c r="F35" s="421" t="s">
        <v>579</v>
      </c>
      <c r="G35" s="421"/>
      <c r="H35" s="421" t="s">
        <v>579</v>
      </c>
      <c r="I35" s="422">
        <f>SUM(I8:I34)</f>
        <v>12210880.791828161</v>
      </c>
      <c r="J35" s="423">
        <f>SUM(J8:J34)</f>
        <v>100</v>
      </c>
      <c r="R35" s="255"/>
    </row>
    <row r="36" spans="1:18" ht="15.4" customHeight="1">
      <c r="A36" s="425">
        <v>1</v>
      </c>
      <c r="B36" s="426" t="s">
        <v>98</v>
      </c>
      <c r="C36" s="427"/>
      <c r="D36" s="428"/>
      <c r="E36" s="286"/>
      <c r="F36" s="286"/>
      <c r="G36" s="286"/>
      <c r="H36" s="286"/>
      <c r="I36" s="286"/>
      <c r="J36" s="429"/>
    </row>
    <row r="37" spans="1:18" ht="15.4" customHeight="1">
      <c r="A37" s="256">
        <v>1.1000000000000001</v>
      </c>
      <c r="B37" s="257" t="s">
        <v>109</v>
      </c>
      <c r="C37" s="424">
        <v>3</v>
      </c>
      <c r="D37" s="318" t="s">
        <v>16</v>
      </c>
      <c r="E37" s="258"/>
      <c r="F37" s="258"/>
      <c r="G37" s="258">
        <v>13500</v>
      </c>
      <c r="H37" s="258">
        <f>C37*G37</f>
        <v>40500</v>
      </c>
      <c r="I37" s="258">
        <f>H37+F37</f>
        <v>40500</v>
      </c>
      <c r="J37" s="259"/>
    </row>
    <row r="38" spans="1:18" ht="15.4" customHeight="1">
      <c r="A38" s="138">
        <v>1.2</v>
      </c>
      <c r="B38" s="147" t="s">
        <v>268</v>
      </c>
      <c r="C38" s="140">
        <v>47.42</v>
      </c>
      <c r="D38" s="260" t="s">
        <v>590</v>
      </c>
      <c r="E38" s="258"/>
      <c r="F38" s="258"/>
      <c r="G38" s="258">
        <v>142</v>
      </c>
      <c r="H38" s="258">
        <f t="shared" ref="H38:H43" si="0">C38*G38</f>
        <v>6733.64</v>
      </c>
      <c r="I38" s="258">
        <f t="shared" ref="I38:I43" si="1">H38+F38</f>
        <v>6733.64</v>
      </c>
      <c r="J38" s="261"/>
    </row>
    <row r="39" spans="1:18" ht="15.4" customHeight="1">
      <c r="A39" s="138">
        <v>1.3</v>
      </c>
      <c r="B39" s="262" t="s">
        <v>267</v>
      </c>
      <c r="C39" s="140">
        <v>2.4</v>
      </c>
      <c r="D39" s="260" t="s">
        <v>590</v>
      </c>
      <c r="E39" s="258">
        <v>523.37</v>
      </c>
      <c r="F39" s="258">
        <f t="shared" ref="F39:F42" si="2">E39*C39</f>
        <v>1256.088</v>
      </c>
      <c r="G39" s="258">
        <v>104</v>
      </c>
      <c r="H39" s="258">
        <f t="shared" si="0"/>
        <v>249.6</v>
      </c>
      <c r="I39" s="258">
        <f t="shared" si="1"/>
        <v>1505.6879999999999</v>
      </c>
      <c r="J39" s="261"/>
    </row>
    <row r="40" spans="1:18" ht="15.4" customHeight="1">
      <c r="A40" s="138">
        <v>1.4</v>
      </c>
      <c r="B40" s="139" t="s">
        <v>110</v>
      </c>
      <c r="C40" s="140">
        <v>0.96</v>
      </c>
      <c r="D40" s="263" t="s">
        <v>590</v>
      </c>
      <c r="E40" s="258">
        <v>1969.63</v>
      </c>
      <c r="F40" s="258">
        <f t="shared" si="2"/>
        <v>1890.8448000000001</v>
      </c>
      <c r="G40" s="258">
        <v>426</v>
      </c>
      <c r="H40" s="258">
        <f t="shared" si="0"/>
        <v>408.96</v>
      </c>
      <c r="I40" s="258">
        <f t="shared" si="1"/>
        <v>2299.8047999999999</v>
      </c>
      <c r="J40" s="264"/>
    </row>
    <row r="41" spans="1:18" ht="15.4" customHeight="1">
      <c r="A41" s="138">
        <v>1.5</v>
      </c>
      <c r="B41" s="139" t="s">
        <v>269</v>
      </c>
      <c r="C41" s="140"/>
      <c r="D41" s="263"/>
      <c r="E41" s="258"/>
      <c r="F41" s="258"/>
      <c r="G41" s="258"/>
      <c r="H41" s="258">
        <f t="shared" si="0"/>
        <v>0</v>
      </c>
      <c r="I41" s="258">
        <f t="shared" si="1"/>
        <v>0</v>
      </c>
      <c r="J41" s="261"/>
    </row>
    <row r="42" spans="1:18" ht="15.4" customHeight="1">
      <c r="A42" s="138" t="s">
        <v>111</v>
      </c>
      <c r="B42" s="139" t="s">
        <v>523</v>
      </c>
      <c r="C42" s="265">
        <v>32</v>
      </c>
      <c r="D42" s="263" t="s">
        <v>88</v>
      </c>
      <c r="E42" s="258">
        <v>11017</v>
      </c>
      <c r="F42" s="258">
        <f t="shared" si="2"/>
        <v>352544</v>
      </c>
      <c r="G42" s="258">
        <v>2550</v>
      </c>
      <c r="H42" s="258">
        <f t="shared" si="0"/>
        <v>81600</v>
      </c>
      <c r="I42" s="258">
        <f t="shared" si="1"/>
        <v>434144</v>
      </c>
      <c r="J42" s="264"/>
    </row>
    <row r="43" spans="1:18" ht="15.4" customHeight="1">
      <c r="A43" s="138" t="s">
        <v>271</v>
      </c>
      <c r="B43" s="139" t="s">
        <v>112</v>
      </c>
      <c r="C43" s="265">
        <v>32</v>
      </c>
      <c r="D43" s="263" t="s">
        <v>88</v>
      </c>
      <c r="E43" s="258"/>
      <c r="F43" s="258"/>
      <c r="G43" s="258">
        <v>300</v>
      </c>
      <c r="H43" s="258">
        <f t="shared" si="0"/>
        <v>9600</v>
      </c>
      <c r="I43" s="258">
        <f t="shared" si="1"/>
        <v>9600</v>
      </c>
      <c r="J43" s="266"/>
      <c r="K43" s="136">
        <v>1</v>
      </c>
      <c r="L43" s="141">
        <f>SUM(E37:E43)</f>
        <v>13510</v>
      </c>
      <c r="M43" s="141">
        <f t="shared" ref="M43:O43" si="3">SUM(F37:F43)</f>
        <v>355690.93280000001</v>
      </c>
      <c r="N43" s="141">
        <f t="shared" si="3"/>
        <v>17022</v>
      </c>
      <c r="O43" s="141">
        <f t="shared" si="3"/>
        <v>139092.20000000001</v>
      </c>
      <c r="P43" s="141">
        <f>SUM(I37:I43)</f>
        <v>494783.13280000002</v>
      </c>
    </row>
    <row r="44" spans="1:18" ht="15.4" customHeight="1">
      <c r="A44" s="267">
        <v>2</v>
      </c>
      <c r="B44" s="268" t="s">
        <v>99</v>
      </c>
      <c r="C44" s="140"/>
      <c r="D44" s="260"/>
      <c r="E44" s="140"/>
      <c r="F44" s="140"/>
      <c r="G44" s="140"/>
      <c r="H44" s="140"/>
      <c r="I44" s="140"/>
      <c r="J44" s="266"/>
    </row>
    <row r="45" spans="1:18" ht="15.4" customHeight="1">
      <c r="A45" s="138">
        <v>2.1</v>
      </c>
      <c r="B45" s="269" t="s">
        <v>581</v>
      </c>
      <c r="C45" s="140">
        <v>203.31</v>
      </c>
      <c r="D45" s="260" t="s">
        <v>590</v>
      </c>
      <c r="E45" s="258">
        <v>2032.72</v>
      </c>
      <c r="F45" s="258">
        <f>E45*C45</f>
        <v>413272.30320000002</v>
      </c>
      <c r="G45" s="258">
        <v>519</v>
      </c>
      <c r="H45" s="258">
        <f>C45*G45</f>
        <v>105517.89</v>
      </c>
      <c r="I45" s="258">
        <f>H45+F45</f>
        <v>518790.19320000004</v>
      </c>
      <c r="J45" s="264"/>
    </row>
    <row r="46" spans="1:18" ht="15.4" customHeight="1">
      <c r="A46" s="138">
        <v>2.2000000000000002</v>
      </c>
      <c r="B46" s="139" t="s">
        <v>419</v>
      </c>
      <c r="C46" s="140"/>
      <c r="D46" s="138"/>
      <c r="E46" s="258"/>
      <c r="F46" s="258"/>
      <c r="G46" s="258"/>
      <c r="H46" s="258"/>
      <c r="I46" s="258"/>
      <c r="J46" s="261"/>
    </row>
    <row r="47" spans="1:18" ht="15.4" customHeight="1">
      <c r="A47" s="138" t="s">
        <v>116</v>
      </c>
      <c r="B47" s="139" t="s">
        <v>86</v>
      </c>
      <c r="C47" s="140">
        <v>925.5</v>
      </c>
      <c r="D47" s="260" t="s">
        <v>24</v>
      </c>
      <c r="E47" s="258">
        <v>334.19</v>
      </c>
      <c r="F47" s="258">
        <f t="shared" ref="F47:F64" si="4">E47*C47</f>
        <v>309292.84499999997</v>
      </c>
      <c r="G47" s="258"/>
      <c r="H47" s="258"/>
      <c r="I47" s="258">
        <f t="shared" ref="I47:I64" si="5">H47+F47</f>
        <v>309292.84499999997</v>
      </c>
      <c r="J47" s="261"/>
    </row>
    <row r="48" spans="1:18" ht="15.4" customHeight="1">
      <c r="A48" s="138" t="s">
        <v>117</v>
      </c>
      <c r="B48" s="139" t="s">
        <v>420</v>
      </c>
      <c r="C48" s="140">
        <v>1851</v>
      </c>
      <c r="D48" s="263" t="s">
        <v>87</v>
      </c>
      <c r="E48" s="258"/>
      <c r="F48" s="258"/>
      <c r="G48" s="258">
        <v>139</v>
      </c>
      <c r="H48" s="258">
        <f t="shared" ref="H48:H63" si="6">C48*G48</f>
        <v>257289</v>
      </c>
      <c r="I48" s="258">
        <f t="shared" si="5"/>
        <v>257289</v>
      </c>
      <c r="J48" s="261"/>
    </row>
    <row r="49" spans="1:16" ht="15.4" customHeight="1">
      <c r="A49" s="138" t="s">
        <v>118</v>
      </c>
      <c r="B49" s="139" t="s">
        <v>421</v>
      </c>
      <c r="C49" s="246">
        <v>277.64999999999998</v>
      </c>
      <c r="D49" s="138" t="s">
        <v>638</v>
      </c>
      <c r="E49" s="258">
        <v>400</v>
      </c>
      <c r="F49" s="258">
        <f t="shared" si="4"/>
        <v>111059.99999999999</v>
      </c>
      <c r="G49" s="258"/>
      <c r="H49" s="258"/>
      <c r="I49" s="258">
        <f t="shared" si="5"/>
        <v>111059.99999999999</v>
      </c>
      <c r="J49" s="261"/>
    </row>
    <row r="50" spans="1:16" ht="15.4" customHeight="1">
      <c r="A50" s="138" t="s">
        <v>119</v>
      </c>
      <c r="B50" s="139" t="s">
        <v>580</v>
      </c>
      <c r="C50" s="270">
        <v>1184</v>
      </c>
      <c r="D50" s="138" t="s">
        <v>88</v>
      </c>
      <c r="E50" s="258">
        <v>28</v>
      </c>
      <c r="F50" s="258">
        <f t="shared" si="4"/>
        <v>33152</v>
      </c>
      <c r="G50" s="258"/>
      <c r="H50" s="258"/>
      <c r="I50" s="258">
        <f t="shared" si="5"/>
        <v>33152</v>
      </c>
      <c r="J50" s="261"/>
    </row>
    <row r="51" spans="1:16" ht="15.4" customHeight="1">
      <c r="A51" s="138" t="s">
        <v>120</v>
      </c>
      <c r="B51" s="139" t="s">
        <v>71</v>
      </c>
      <c r="C51" s="140">
        <v>231.38</v>
      </c>
      <c r="D51" s="260" t="s">
        <v>624</v>
      </c>
      <c r="E51" s="258">
        <v>47</v>
      </c>
      <c r="F51" s="258">
        <v>7617.66</v>
      </c>
      <c r="G51" s="258"/>
      <c r="H51" s="258"/>
      <c r="I51" s="258">
        <f t="shared" si="5"/>
        <v>7617.66</v>
      </c>
      <c r="J51" s="261"/>
    </row>
    <row r="52" spans="1:16" ht="15.4" customHeight="1">
      <c r="A52" s="138" t="s">
        <v>210</v>
      </c>
      <c r="B52" s="139" t="s">
        <v>211</v>
      </c>
      <c r="C52" s="140">
        <v>130.57</v>
      </c>
      <c r="D52" s="260" t="s">
        <v>24</v>
      </c>
      <c r="E52" s="258">
        <v>98.5</v>
      </c>
      <c r="F52" s="258">
        <f t="shared" si="4"/>
        <v>12861.144999999999</v>
      </c>
      <c r="G52" s="258">
        <v>21</v>
      </c>
      <c r="H52" s="258">
        <f t="shared" si="6"/>
        <v>2741.97</v>
      </c>
      <c r="I52" s="258">
        <f t="shared" si="5"/>
        <v>15603.114999999998</v>
      </c>
      <c r="J52" s="261"/>
    </row>
    <row r="53" spans="1:16" ht="15.4" customHeight="1">
      <c r="A53" s="138">
        <v>2.2999999999999998</v>
      </c>
      <c r="B53" s="139" t="s">
        <v>266</v>
      </c>
      <c r="C53" s="140"/>
      <c r="D53" s="263"/>
      <c r="E53" s="258"/>
      <c r="F53" s="258"/>
      <c r="G53" s="258"/>
      <c r="H53" s="258"/>
      <c r="I53" s="258"/>
      <c r="J53" s="261"/>
    </row>
    <row r="54" spans="1:16" ht="15.4" customHeight="1">
      <c r="A54" s="138" t="s">
        <v>121</v>
      </c>
      <c r="B54" s="139" t="s">
        <v>113</v>
      </c>
      <c r="C54" s="140">
        <v>1.94</v>
      </c>
      <c r="D54" s="260" t="s">
        <v>18</v>
      </c>
      <c r="E54" s="258">
        <v>21154.34</v>
      </c>
      <c r="F54" s="258">
        <f t="shared" si="4"/>
        <v>41039.419600000001</v>
      </c>
      <c r="G54" s="258">
        <v>4400</v>
      </c>
      <c r="H54" s="258">
        <f t="shared" si="6"/>
        <v>8536</v>
      </c>
      <c r="I54" s="258">
        <f t="shared" si="5"/>
        <v>49575.419600000001</v>
      </c>
      <c r="J54" s="261"/>
    </row>
    <row r="55" spans="1:16" ht="15.4" customHeight="1">
      <c r="A55" s="138" t="s">
        <v>122</v>
      </c>
      <c r="B55" s="139" t="s">
        <v>114</v>
      </c>
      <c r="C55" s="140">
        <v>6.02</v>
      </c>
      <c r="D55" s="260" t="s">
        <v>18</v>
      </c>
      <c r="E55" s="258">
        <v>20133.73</v>
      </c>
      <c r="F55" s="258">
        <f t="shared" si="4"/>
        <v>121205.05459999999</v>
      </c>
      <c r="G55" s="258">
        <v>4400</v>
      </c>
      <c r="H55" s="258">
        <f t="shared" si="6"/>
        <v>26487.999999999996</v>
      </c>
      <c r="I55" s="258">
        <f t="shared" si="5"/>
        <v>147693.05459999997</v>
      </c>
      <c r="J55" s="261"/>
    </row>
    <row r="56" spans="1:16" ht="15.4" customHeight="1">
      <c r="A56" s="138" t="s">
        <v>123</v>
      </c>
      <c r="B56" s="139" t="s">
        <v>407</v>
      </c>
      <c r="C56" s="140">
        <v>1.1399999999999999</v>
      </c>
      <c r="D56" s="260" t="s">
        <v>18</v>
      </c>
      <c r="E56" s="258">
        <v>19838.759999999998</v>
      </c>
      <c r="F56" s="258">
        <f t="shared" si="4"/>
        <v>22616.186399999995</v>
      </c>
      <c r="G56" s="258">
        <v>3600</v>
      </c>
      <c r="H56" s="258">
        <f t="shared" si="6"/>
        <v>4104</v>
      </c>
      <c r="I56" s="258">
        <f t="shared" si="5"/>
        <v>26720.186399999995</v>
      </c>
      <c r="J56" s="261"/>
    </row>
    <row r="57" spans="1:16" ht="15.4" customHeight="1">
      <c r="A57" s="138" t="s">
        <v>119</v>
      </c>
      <c r="B57" s="139" t="s">
        <v>408</v>
      </c>
      <c r="C57" s="140">
        <v>6.02</v>
      </c>
      <c r="D57" s="260" t="s">
        <v>18</v>
      </c>
      <c r="E57" s="258">
        <v>19717.91</v>
      </c>
      <c r="F57" s="258">
        <f t="shared" si="4"/>
        <v>118701.81819999999</v>
      </c>
      <c r="G57" s="258">
        <v>3600</v>
      </c>
      <c r="H57" s="258">
        <f t="shared" si="6"/>
        <v>21672</v>
      </c>
      <c r="I57" s="258">
        <f t="shared" si="5"/>
        <v>140373.81819999998</v>
      </c>
      <c r="J57" s="261"/>
    </row>
    <row r="58" spans="1:16" ht="15.4" customHeight="1">
      <c r="A58" s="138" t="s">
        <v>124</v>
      </c>
      <c r="B58" s="139" t="s">
        <v>409</v>
      </c>
      <c r="C58" s="140">
        <v>1.1000000000000001</v>
      </c>
      <c r="D58" s="260" t="s">
        <v>18</v>
      </c>
      <c r="E58" s="258">
        <v>19593.53</v>
      </c>
      <c r="F58" s="258">
        <f t="shared" si="4"/>
        <v>21552.883000000002</v>
      </c>
      <c r="G58" s="258">
        <v>3100</v>
      </c>
      <c r="H58" s="258">
        <f t="shared" si="6"/>
        <v>3410.0000000000005</v>
      </c>
      <c r="I58" s="258">
        <f t="shared" si="5"/>
        <v>24962.883000000002</v>
      </c>
      <c r="J58" s="261"/>
    </row>
    <row r="59" spans="1:16" ht="15.4" customHeight="1">
      <c r="A59" s="138" t="s">
        <v>125</v>
      </c>
      <c r="B59" s="139" t="s">
        <v>410</v>
      </c>
      <c r="C59" s="140">
        <v>11.95</v>
      </c>
      <c r="D59" s="260" t="s">
        <v>18</v>
      </c>
      <c r="E59" s="258">
        <v>20835.810000000001</v>
      </c>
      <c r="F59" s="258">
        <f t="shared" si="4"/>
        <v>248987.9295</v>
      </c>
      <c r="G59" s="258">
        <v>3100</v>
      </c>
      <c r="H59" s="258">
        <f t="shared" si="6"/>
        <v>37045</v>
      </c>
      <c r="I59" s="258">
        <f t="shared" si="5"/>
        <v>286032.92949999997</v>
      </c>
      <c r="J59" s="261"/>
    </row>
    <row r="60" spans="1:16" ht="15.4" customHeight="1">
      <c r="A60" s="138" t="s">
        <v>126</v>
      </c>
      <c r="B60" s="139" t="s">
        <v>115</v>
      </c>
      <c r="C60" s="140">
        <v>1115.24</v>
      </c>
      <c r="D60" s="260" t="s">
        <v>624</v>
      </c>
      <c r="E60" s="258">
        <v>32.71</v>
      </c>
      <c r="F60" s="258">
        <f t="shared" si="4"/>
        <v>36479.500400000004</v>
      </c>
      <c r="G60" s="258"/>
      <c r="H60" s="258"/>
      <c r="I60" s="258">
        <f t="shared" si="5"/>
        <v>36479.500400000004</v>
      </c>
      <c r="J60" s="261"/>
    </row>
    <row r="61" spans="1:16" ht="15.4" customHeight="1">
      <c r="A61" s="138">
        <v>2.4</v>
      </c>
      <c r="B61" s="122" t="s">
        <v>582</v>
      </c>
      <c r="C61" s="140">
        <v>795</v>
      </c>
      <c r="D61" s="260" t="s">
        <v>24</v>
      </c>
      <c r="E61" s="258">
        <v>233</v>
      </c>
      <c r="F61" s="258">
        <f t="shared" si="4"/>
        <v>185235</v>
      </c>
      <c r="G61" s="258">
        <v>25</v>
      </c>
      <c r="H61" s="258">
        <f t="shared" si="6"/>
        <v>19875</v>
      </c>
      <c r="I61" s="258">
        <f t="shared" si="5"/>
        <v>205110</v>
      </c>
      <c r="J61" s="264"/>
    </row>
    <row r="62" spans="1:16" ht="15.4" customHeight="1">
      <c r="A62" s="138" t="s">
        <v>127</v>
      </c>
      <c r="B62" s="139" t="s">
        <v>583</v>
      </c>
      <c r="C62" s="140">
        <v>795</v>
      </c>
      <c r="D62" s="260" t="s">
        <v>24</v>
      </c>
      <c r="E62" s="258">
        <v>101.64</v>
      </c>
      <c r="F62" s="258">
        <f t="shared" si="4"/>
        <v>80803.8</v>
      </c>
      <c r="G62" s="258">
        <v>25.95</v>
      </c>
      <c r="H62" s="258">
        <f t="shared" si="6"/>
        <v>20630.25</v>
      </c>
      <c r="I62" s="258">
        <f t="shared" si="5"/>
        <v>101434.05</v>
      </c>
      <c r="J62" s="264"/>
    </row>
    <row r="63" spans="1:16" ht="15.4" customHeight="1">
      <c r="A63" s="138" t="s">
        <v>128</v>
      </c>
      <c r="B63" s="139" t="s">
        <v>270</v>
      </c>
      <c r="C63" s="140">
        <v>2.19</v>
      </c>
      <c r="D63" s="260" t="s">
        <v>18</v>
      </c>
      <c r="E63" s="258">
        <v>21154.34</v>
      </c>
      <c r="F63" s="258">
        <f t="shared" si="4"/>
        <v>46328.0046</v>
      </c>
      <c r="G63" s="258">
        <v>4400</v>
      </c>
      <c r="H63" s="258">
        <f t="shared" si="6"/>
        <v>9636</v>
      </c>
      <c r="I63" s="258">
        <f t="shared" si="5"/>
        <v>55964.0046</v>
      </c>
      <c r="J63" s="261"/>
    </row>
    <row r="64" spans="1:16" ht="15.4" customHeight="1">
      <c r="A64" s="252" t="s">
        <v>129</v>
      </c>
      <c r="B64" s="147" t="s">
        <v>115</v>
      </c>
      <c r="C64" s="271">
        <v>65.7</v>
      </c>
      <c r="D64" s="272" t="s">
        <v>23</v>
      </c>
      <c r="E64" s="137">
        <v>32.71</v>
      </c>
      <c r="F64" s="137">
        <f t="shared" si="4"/>
        <v>2149.047</v>
      </c>
      <c r="G64" s="137"/>
      <c r="H64" s="137"/>
      <c r="I64" s="137">
        <f t="shared" si="5"/>
        <v>2149.047</v>
      </c>
      <c r="J64" s="273"/>
      <c r="K64" s="136">
        <v>2</v>
      </c>
      <c r="L64" s="141">
        <f>SUM(E45:E64)</f>
        <v>145768.88999999998</v>
      </c>
      <c r="M64" s="141">
        <f>SUM(F45:F64)</f>
        <v>1812354.5965000002</v>
      </c>
      <c r="N64" s="141">
        <f>SUM(G45:G64)</f>
        <v>27329.95</v>
      </c>
      <c r="O64" s="141">
        <f>SUM(H45:H64)</f>
        <v>516945.11</v>
      </c>
      <c r="P64" s="141">
        <f>SUM(I45:I64)</f>
        <v>2329299.7064999994</v>
      </c>
    </row>
    <row r="65" spans="1:18" ht="15.4" customHeight="1">
      <c r="A65" s="274"/>
      <c r="B65" s="275" t="s">
        <v>21</v>
      </c>
      <c r="C65" s="276"/>
      <c r="D65" s="277"/>
      <c r="E65" s="278"/>
      <c r="F65" s="279">
        <f>SUM(F36:F64)</f>
        <v>2168045.5292999996</v>
      </c>
      <c r="G65" s="279"/>
      <c r="H65" s="279">
        <f>SUM(H37:H64)</f>
        <v>656037.30999999994</v>
      </c>
      <c r="I65" s="279">
        <f>SUM(I36:I64)</f>
        <v>2824082.8392999992</v>
      </c>
      <c r="J65" s="280"/>
    </row>
    <row r="66" spans="1:18" ht="16" customHeight="1">
      <c r="A66" s="281"/>
      <c r="B66" s="282" t="s">
        <v>22</v>
      </c>
      <c r="C66" s="283"/>
      <c r="D66" s="284"/>
      <c r="E66" s="285"/>
      <c r="F66" s="286">
        <f>F65</f>
        <v>2168045.5292999996</v>
      </c>
      <c r="G66" s="286"/>
      <c r="H66" s="286">
        <f>H65</f>
        <v>656037.30999999994</v>
      </c>
      <c r="I66" s="286">
        <f>I65</f>
        <v>2824082.8392999992</v>
      </c>
      <c r="J66" s="287"/>
    </row>
    <row r="67" spans="1:18" ht="16" customHeight="1">
      <c r="A67" s="288">
        <v>3</v>
      </c>
      <c r="B67" s="289" t="s">
        <v>100</v>
      </c>
      <c r="C67" s="290"/>
      <c r="D67" s="291"/>
      <c r="E67" s="292"/>
      <c r="F67" s="292"/>
      <c r="G67" s="292"/>
      <c r="H67" s="292"/>
      <c r="I67" s="292"/>
      <c r="J67" s="259"/>
    </row>
    <row r="68" spans="1:18" ht="16" customHeight="1">
      <c r="A68" s="138">
        <v>3.1</v>
      </c>
      <c r="B68" s="139" t="s">
        <v>537</v>
      </c>
      <c r="C68" s="293">
        <v>1338.48</v>
      </c>
      <c r="D68" s="294" t="s">
        <v>23</v>
      </c>
      <c r="E68" s="258">
        <v>24.06</v>
      </c>
      <c r="F68" s="258">
        <f t="shared" ref="F68" si="7">E68*C68</f>
        <v>32203.828799999999</v>
      </c>
      <c r="G68" s="258">
        <v>10</v>
      </c>
      <c r="H68" s="258">
        <f t="shared" ref="H68" si="8">C68*G68</f>
        <v>13384.8</v>
      </c>
      <c r="I68" s="258">
        <f t="shared" ref="I68" si="9">H68+F68</f>
        <v>45588.628799999999</v>
      </c>
      <c r="J68" s="261"/>
    </row>
    <row r="69" spans="1:18" ht="16" customHeight="1">
      <c r="A69" s="138">
        <v>3.2</v>
      </c>
      <c r="B69" s="139" t="s">
        <v>538</v>
      </c>
      <c r="C69" s="295">
        <v>1656.48</v>
      </c>
      <c r="D69" s="260" t="s">
        <v>23</v>
      </c>
      <c r="E69" s="258">
        <v>25.96</v>
      </c>
      <c r="F69" s="258">
        <f t="shared" ref="F69:F81" si="10">E69*C69</f>
        <v>43002.220800000003</v>
      </c>
      <c r="G69" s="258">
        <v>10</v>
      </c>
      <c r="H69" s="258">
        <f t="shared" ref="H69:H81" si="11">C69*G69</f>
        <v>16564.8</v>
      </c>
      <c r="I69" s="258">
        <f t="shared" ref="I69:I81" si="12">H69+F69</f>
        <v>59567.020799999998</v>
      </c>
      <c r="J69" s="261"/>
    </row>
    <row r="70" spans="1:18" ht="16" customHeight="1">
      <c r="A70" s="138">
        <v>3.3</v>
      </c>
      <c r="B70" s="139" t="s">
        <v>644</v>
      </c>
      <c r="C70" s="295">
        <v>302.60000000000002</v>
      </c>
      <c r="D70" s="260" t="s">
        <v>24</v>
      </c>
      <c r="E70" s="258">
        <v>62</v>
      </c>
      <c r="F70" s="258">
        <f t="shared" si="10"/>
        <v>18761.2</v>
      </c>
      <c r="G70" s="258">
        <v>35</v>
      </c>
      <c r="H70" s="258">
        <f t="shared" si="11"/>
        <v>10591</v>
      </c>
      <c r="I70" s="258">
        <f t="shared" si="12"/>
        <v>29352.2</v>
      </c>
      <c r="J70" s="296"/>
    </row>
    <row r="71" spans="1:18" ht="16" customHeight="1">
      <c r="A71" s="138">
        <v>3.4</v>
      </c>
      <c r="B71" s="139" t="s">
        <v>482</v>
      </c>
      <c r="C71" s="297">
        <v>774</v>
      </c>
      <c r="D71" s="260" t="s">
        <v>72</v>
      </c>
      <c r="E71" s="258">
        <v>64.959999999999994</v>
      </c>
      <c r="F71" s="258">
        <f t="shared" si="10"/>
        <v>50279.039999999994</v>
      </c>
      <c r="G71" s="258"/>
      <c r="H71" s="258"/>
      <c r="I71" s="258">
        <f t="shared" si="12"/>
        <v>50279.039999999994</v>
      </c>
      <c r="J71" s="238"/>
    </row>
    <row r="72" spans="1:18" ht="16" customHeight="1">
      <c r="A72" s="138">
        <v>3.5</v>
      </c>
      <c r="B72" s="298" t="s">
        <v>481</v>
      </c>
      <c r="C72" s="297">
        <f>54*2</f>
        <v>108</v>
      </c>
      <c r="D72" s="260" t="s">
        <v>72</v>
      </c>
      <c r="E72" s="258">
        <v>64.959999999999994</v>
      </c>
      <c r="F72" s="258">
        <f t="shared" si="10"/>
        <v>7015.6799999999994</v>
      </c>
      <c r="G72" s="258"/>
      <c r="H72" s="258"/>
      <c r="I72" s="258">
        <f t="shared" si="12"/>
        <v>7015.6799999999994</v>
      </c>
      <c r="J72" s="299"/>
    </row>
    <row r="73" spans="1:18" ht="16" customHeight="1">
      <c r="A73" s="138">
        <v>3.6</v>
      </c>
      <c r="B73" s="298" t="s">
        <v>165</v>
      </c>
      <c r="C73" s="297">
        <f>C71+C72-54</f>
        <v>828</v>
      </c>
      <c r="D73" s="260" t="s">
        <v>26</v>
      </c>
      <c r="E73" s="258">
        <v>3.04</v>
      </c>
      <c r="F73" s="258">
        <f t="shared" si="10"/>
        <v>2517.12</v>
      </c>
      <c r="G73" s="258"/>
      <c r="H73" s="258"/>
      <c r="I73" s="258">
        <f t="shared" si="12"/>
        <v>2517.12</v>
      </c>
      <c r="J73" s="299"/>
      <c r="R73" s="141"/>
    </row>
    <row r="74" spans="1:18" ht="16" customHeight="1">
      <c r="A74" s="300">
        <v>3.7</v>
      </c>
      <c r="B74" s="298" t="s">
        <v>149</v>
      </c>
      <c r="C74" s="295">
        <v>392</v>
      </c>
      <c r="D74" s="260" t="s">
        <v>24</v>
      </c>
      <c r="E74" s="258"/>
      <c r="F74" s="258"/>
      <c r="G74" s="258">
        <v>45</v>
      </c>
      <c r="H74" s="258">
        <f t="shared" si="11"/>
        <v>17640</v>
      </c>
      <c r="I74" s="258">
        <f t="shared" si="12"/>
        <v>17640</v>
      </c>
      <c r="J74" s="299"/>
    </row>
    <row r="75" spans="1:18" ht="16" customHeight="1">
      <c r="A75" s="138">
        <v>3.8</v>
      </c>
      <c r="B75" s="301" t="s">
        <v>584</v>
      </c>
      <c r="C75" s="295">
        <v>392</v>
      </c>
      <c r="D75" s="260" t="s">
        <v>24</v>
      </c>
      <c r="E75" s="258">
        <v>165</v>
      </c>
      <c r="F75" s="258">
        <f t="shared" si="10"/>
        <v>64680</v>
      </c>
      <c r="G75" s="258">
        <v>18</v>
      </c>
      <c r="H75" s="258">
        <f t="shared" si="11"/>
        <v>7056</v>
      </c>
      <c r="I75" s="258">
        <f t="shared" si="12"/>
        <v>71736</v>
      </c>
      <c r="J75" s="302"/>
    </row>
    <row r="76" spans="1:18" ht="16" customHeight="1">
      <c r="A76" s="244"/>
      <c r="B76" s="301" t="s">
        <v>585</v>
      </c>
      <c r="C76" s="295"/>
      <c r="D76" s="260"/>
      <c r="E76" s="258"/>
      <c r="F76" s="258"/>
      <c r="G76" s="258"/>
      <c r="H76" s="258"/>
      <c r="I76" s="258"/>
      <c r="J76" s="302"/>
    </row>
    <row r="77" spans="1:18" ht="16" customHeight="1">
      <c r="A77" s="138">
        <v>3.9</v>
      </c>
      <c r="B77" s="298" t="s">
        <v>586</v>
      </c>
      <c r="C77" s="295">
        <v>392</v>
      </c>
      <c r="D77" s="260" t="s">
        <v>24</v>
      </c>
      <c r="E77" s="258">
        <v>90</v>
      </c>
      <c r="F77" s="258">
        <f t="shared" si="10"/>
        <v>35280</v>
      </c>
      <c r="G77" s="258">
        <v>7</v>
      </c>
      <c r="H77" s="258">
        <f t="shared" si="11"/>
        <v>2744</v>
      </c>
      <c r="I77" s="258">
        <f t="shared" si="12"/>
        <v>38024</v>
      </c>
      <c r="J77" s="139"/>
    </row>
    <row r="78" spans="1:18" ht="16" customHeight="1">
      <c r="A78" s="244">
        <v>3.1</v>
      </c>
      <c r="B78" s="298" t="s">
        <v>141</v>
      </c>
      <c r="C78" s="295">
        <v>52</v>
      </c>
      <c r="D78" s="260" t="s">
        <v>93</v>
      </c>
      <c r="E78" s="258">
        <v>220</v>
      </c>
      <c r="F78" s="258">
        <f t="shared" si="10"/>
        <v>11440</v>
      </c>
      <c r="G78" s="258"/>
      <c r="H78" s="258"/>
      <c r="I78" s="258">
        <f t="shared" si="12"/>
        <v>11440</v>
      </c>
      <c r="J78" s="303"/>
    </row>
    <row r="79" spans="1:18" ht="16" customHeight="1">
      <c r="A79" s="138">
        <v>3.11</v>
      </c>
      <c r="B79" s="298" t="s">
        <v>142</v>
      </c>
      <c r="C79" s="295">
        <v>52</v>
      </c>
      <c r="D79" s="260" t="s">
        <v>93</v>
      </c>
      <c r="E79" s="258">
        <v>165</v>
      </c>
      <c r="F79" s="258">
        <f t="shared" si="10"/>
        <v>8580</v>
      </c>
      <c r="G79" s="258"/>
      <c r="H79" s="258"/>
      <c r="I79" s="258">
        <f t="shared" si="12"/>
        <v>8580</v>
      </c>
      <c r="J79" s="303"/>
    </row>
    <row r="80" spans="1:18" ht="16" customHeight="1">
      <c r="A80" s="244">
        <v>3.12</v>
      </c>
      <c r="B80" s="139" t="s">
        <v>673</v>
      </c>
      <c r="C80" s="295">
        <v>52</v>
      </c>
      <c r="D80" s="260" t="s">
        <v>93</v>
      </c>
      <c r="E80" s="258"/>
      <c r="F80" s="258"/>
      <c r="G80" s="258">
        <v>94</v>
      </c>
      <c r="H80" s="258">
        <f t="shared" si="11"/>
        <v>4888</v>
      </c>
      <c r="I80" s="258">
        <f t="shared" si="12"/>
        <v>4888</v>
      </c>
      <c r="J80" s="299"/>
    </row>
    <row r="81" spans="1:16" ht="16" customHeight="1">
      <c r="A81" s="244">
        <v>3.13</v>
      </c>
      <c r="B81" s="139" t="s">
        <v>587</v>
      </c>
      <c r="C81" s="295">
        <f>(7.4*6)+(5.4*2)+4</f>
        <v>59.2</v>
      </c>
      <c r="D81" s="260" t="s">
        <v>93</v>
      </c>
      <c r="E81" s="258">
        <v>183.57</v>
      </c>
      <c r="F81" s="258">
        <f t="shared" si="10"/>
        <v>10867.344000000001</v>
      </c>
      <c r="G81" s="258">
        <v>125.36</v>
      </c>
      <c r="H81" s="258">
        <f t="shared" si="11"/>
        <v>7421.3119999999999</v>
      </c>
      <c r="I81" s="258">
        <f t="shared" si="12"/>
        <v>18288.656000000003</v>
      </c>
      <c r="J81" s="299"/>
      <c r="K81" s="136">
        <v>3</v>
      </c>
      <c r="L81" s="141">
        <f>SUM(E68:E81)</f>
        <v>1068.55</v>
      </c>
      <c r="M81" s="141">
        <f t="shared" ref="M81:P81" si="13">SUM(F68:F81)</f>
        <v>284626.43359999993</v>
      </c>
      <c r="N81" s="141">
        <f t="shared" si="13"/>
        <v>344.36</v>
      </c>
      <c r="O81" s="141">
        <f t="shared" si="13"/>
        <v>80289.912000000011</v>
      </c>
      <c r="P81" s="141">
        <f t="shared" si="13"/>
        <v>364916.3456</v>
      </c>
    </row>
    <row r="82" spans="1:16" ht="16" customHeight="1">
      <c r="A82" s="267">
        <v>4</v>
      </c>
      <c r="B82" s="268" t="s">
        <v>101</v>
      </c>
      <c r="C82" s="293"/>
      <c r="D82" s="294"/>
      <c r="E82" s="304"/>
      <c r="F82" s="304"/>
      <c r="G82" s="304"/>
      <c r="H82" s="304"/>
      <c r="I82" s="304"/>
      <c r="J82" s="296"/>
    </row>
    <row r="83" spans="1:16" ht="16" customHeight="1">
      <c r="A83" s="138">
        <v>4.0999999999999996</v>
      </c>
      <c r="B83" s="139" t="s">
        <v>524</v>
      </c>
      <c r="C83" s="295">
        <v>222</v>
      </c>
      <c r="D83" s="260" t="s">
        <v>24</v>
      </c>
      <c r="E83" s="258">
        <v>281</v>
      </c>
      <c r="F83" s="258">
        <f t="shared" ref="F83" si="14">E83*C83</f>
        <v>62382</v>
      </c>
      <c r="G83" s="258">
        <v>75</v>
      </c>
      <c r="H83" s="258">
        <f t="shared" ref="H83" si="15">C83*G83</f>
        <v>16650</v>
      </c>
      <c r="I83" s="258">
        <f t="shared" ref="I83" si="16">H83+F83</f>
        <v>79032</v>
      </c>
      <c r="J83" s="305" t="s">
        <v>662</v>
      </c>
    </row>
    <row r="84" spans="1:16" ht="16" customHeight="1">
      <c r="A84" s="138">
        <v>4.2</v>
      </c>
      <c r="B84" s="237" t="s">
        <v>525</v>
      </c>
      <c r="C84" s="295">
        <v>32</v>
      </c>
      <c r="D84" s="260" t="s">
        <v>24</v>
      </c>
      <c r="E84" s="258">
        <v>329</v>
      </c>
      <c r="F84" s="258">
        <f t="shared" ref="F84:F93" si="17">E84*C84</f>
        <v>10528</v>
      </c>
      <c r="G84" s="258">
        <v>52</v>
      </c>
      <c r="H84" s="258">
        <f t="shared" ref="H84:H93" si="18">C84*G84</f>
        <v>1664</v>
      </c>
      <c r="I84" s="258">
        <f t="shared" ref="I84:I93" si="19">H84+F84</f>
        <v>12192</v>
      </c>
      <c r="J84" s="305" t="s">
        <v>663</v>
      </c>
    </row>
    <row r="85" spans="1:16" ht="16" customHeight="1">
      <c r="A85" s="138">
        <v>4.3</v>
      </c>
      <c r="B85" s="237" t="s">
        <v>130</v>
      </c>
      <c r="C85" s="295">
        <v>255</v>
      </c>
      <c r="D85" s="260" t="s">
        <v>24</v>
      </c>
      <c r="E85" s="258">
        <v>100</v>
      </c>
      <c r="F85" s="258">
        <f t="shared" si="17"/>
        <v>25500</v>
      </c>
      <c r="G85" s="258">
        <v>87</v>
      </c>
      <c r="H85" s="258">
        <f t="shared" si="18"/>
        <v>22185</v>
      </c>
      <c r="I85" s="258">
        <f t="shared" si="19"/>
        <v>47685</v>
      </c>
      <c r="J85" s="299"/>
    </row>
    <row r="86" spans="1:16" ht="16" customHeight="1">
      <c r="A86" s="138">
        <v>4.4000000000000004</v>
      </c>
      <c r="B86" s="144" t="s">
        <v>677</v>
      </c>
      <c r="C86" s="295">
        <v>104</v>
      </c>
      <c r="D86" s="260" t="s">
        <v>24</v>
      </c>
      <c r="E86" s="258">
        <v>652</v>
      </c>
      <c r="F86" s="258">
        <f t="shared" si="17"/>
        <v>67808</v>
      </c>
      <c r="G86" s="258">
        <v>95</v>
      </c>
      <c r="H86" s="258">
        <f t="shared" si="18"/>
        <v>9880</v>
      </c>
      <c r="I86" s="258">
        <f t="shared" si="19"/>
        <v>77688</v>
      </c>
      <c r="J86" s="306"/>
      <c r="K86" s="136">
        <v>4</v>
      </c>
      <c r="L86" s="141">
        <f>SUM(E83:E86)</f>
        <v>1362</v>
      </c>
      <c r="M86" s="141">
        <f t="shared" ref="M86:P86" si="20">SUM(F83:F86)</f>
        <v>166218</v>
      </c>
      <c r="N86" s="141">
        <f t="shared" si="20"/>
        <v>309</v>
      </c>
      <c r="O86" s="141">
        <f t="shared" si="20"/>
        <v>50379</v>
      </c>
      <c r="P86" s="141">
        <f t="shared" si="20"/>
        <v>216597</v>
      </c>
    </row>
    <row r="87" spans="1:16" ht="16" customHeight="1">
      <c r="A87" s="267">
        <v>5</v>
      </c>
      <c r="B87" s="268" t="s">
        <v>102</v>
      </c>
      <c r="C87" s="307"/>
      <c r="D87" s="294"/>
      <c r="E87" s="258"/>
      <c r="F87" s="258"/>
      <c r="G87" s="258"/>
      <c r="H87" s="258"/>
      <c r="I87" s="258"/>
      <c r="J87" s="299"/>
    </row>
    <row r="88" spans="1:16" ht="16" customHeight="1">
      <c r="A88" s="138">
        <v>5.0999999999999996</v>
      </c>
      <c r="B88" s="212" t="s">
        <v>588</v>
      </c>
      <c r="C88" s="295"/>
      <c r="D88" s="260"/>
      <c r="E88" s="258"/>
      <c r="F88" s="258"/>
      <c r="G88" s="258"/>
      <c r="H88" s="258"/>
      <c r="I88" s="258"/>
      <c r="J88" s="296"/>
    </row>
    <row r="89" spans="1:16" ht="16" customHeight="1">
      <c r="A89" s="138" t="s">
        <v>276</v>
      </c>
      <c r="B89" s="269" t="s">
        <v>581</v>
      </c>
      <c r="C89" s="295">
        <v>4.5599999999999996</v>
      </c>
      <c r="D89" s="260" t="s">
        <v>590</v>
      </c>
      <c r="E89" s="258">
        <v>2032.72</v>
      </c>
      <c r="F89" s="258">
        <f>E89*C89</f>
        <v>9269.2031999999999</v>
      </c>
      <c r="G89" s="258">
        <v>519</v>
      </c>
      <c r="H89" s="258">
        <f t="shared" si="18"/>
        <v>2366.64</v>
      </c>
      <c r="I89" s="258">
        <f t="shared" si="19"/>
        <v>11635.843199999999</v>
      </c>
      <c r="J89" s="296"/>
    </row>
    <row r="90" spans="1:16" ht="16" customHeight="1">
      <c r="A90" s="138" t="s">
        <v>277</v>
      </c>
      <c r="B90" s="134" t="s">
        <v>589</v>
      </c>
      <c r="C90" s="295">
        <v>30.42</v>
      </c>
      <c r="D90" s="260" t="s">
        <v>24</v>
      </c>
      <c r="E90" s="258">
        <v>33</v>
      </c>
      <c r="F90" s="258">
        <f t="shared" si="17"/>
        <v>1003.86</v>
      </c>
      <c r="G90" s="258">
        <v>5</v>
      </c>
      <c r="H90" s="258">
        <f t="shared" si="18"/>
        <v>152.10000000000002</v>
      </c>
      <c r="I90" s="258">
        <f t="shared" si="19"/>
        <v>1155.96</v>
      </c>
      <c r="J90" s="296"/>
    </row>
    <row r="91" spans="1:16" ht="16" customHeight="1">
      <c r="A91" s="138" t="s">
        <v>278</v>
      </c>
      <c r="B91" s="237" t="s">
        <v>218</v>
      </c>
      <c r="C91" s="295">
        <v>5.73</v>
      </c>
      <c r="D91" s="260" t="s">
        <v>590</v>
      </c>
      <c r="E91" s="258">
        <v>523.37</v>
      </c>
      <c r="F91" s="258">
        <f t="shared" si="17"/>
        <v>2998.9101000000001</v>
      </c>
      <c r="G91" s="258">
        <v>104</v>
      </c>
      <c r="H91" s="258">
        <f t="shared" si="18"/>
        <v>595.92000000000007</v>
      </c>
      <c r="I91" s="258">
        <f t="shared" si="19"/>
        <v>3594.8301000000001</v>
      </c>
      <c r="J91" s="296"/>
    </row>
    <row r="92" spans="1:16" ht="16" customHeight="1">
      <c r="A92" s="138" t="s">
        <v>279</v>
      </c>
      <c r="B92" s="212" t="s">
        <v>280</v>
      </c>
      <c r="C92" s="295">
        <v>30.42</v>
      </c>
      <c r="D92" s="260" t="s">
        <v>24</v>
      </c>
      <c r="E92" s="258"/>
      <c r="F92" s="258"/>
      <c r="G92" s="258">
        <v>40</v>
      </c>
      <c r="H92" s="258">
        <f t="shared" si="18"/>
        <v>1216.8000000000002</v>
      </c>
      <c r="I92" s="258">
        <f t="shared" si="19"/>
        <v>1216.8000000000002</v>
      </c>
      <c r="J92" s="296"/>
    </row>
    <row r="93" spans="1:16" ht="16" customHeight="1">
      <c r="A93" s="252">
        <v>5.2</v>
      </c>
      <c r="B93" s="308" t="s">
        <v>591</v>
      </c>
      <c r="C93" s="271">
        <v>31.82</v>
      </c>
      <c r="D93" s="272" t="s">
        <v>24</v>
      </c>
      <c r="E93" s="137">
        <v>172</v>
      </c>
      <c r="F93" s="137">
        <f t="shared" si="17"/>
        <v>5473.04</v>
      </c>
      <c r="G93" s="137">
        <v>82</v>
      </c>
      <c r="H93" s="137">
        <f t="shared" si="18"/>
        <v>2609.2400000000002</v>
      </c>
      <c r="I93" s="137">
        <f t="shared" si="19"/>
        <v>8082.2800000000007</v>
      </c>
      <c r="J93" s="309"/>
    </row>
    <row r="94" spans="1:16" ht="16" customHeight="1">
      <c r="A94" s="274"/>
      <c r="B94" s="275" t="s">
        <v>21</v>
      </c>
      <c r="C94" s="276"/>
      <c r="D94" s="277"/>
      <c r="E94" s="278"/>
      <c r="F94" s="279">
        <f>SUM(F66:F93)</f>
        <v>2637634.9761999995</v>
      </c>
      <c r="G94" s="279"/>
      <c r="H94" s="279">
        <f>SUM(H66:H93)</f>
        <v>793646.92200000014</v>
      </c>
      <c r="I94" s="279">
        <f>SUM(I66:I93)</f>
        <v>3431281.8981999992</v>
      </c>
      <c r="J94" s="280"/>
    </row>
    <row r="95" spans="1:16" ht="16" customHeight="1">
      <c r="A95" s="310"/>
      <c r="B95" s="311" t="s">
        <v>22</v>
      </c>
      <c r="C95" s="312"/>
      <c r="D95" s="313"/>
      <c r="E95" s="314"/>
      <c r="F95" s="315">
        <f>F94</f>
        <v>2637634.9761999995</v>
      </c>
      <c r="G95" s="315"/>
      <c r="H95" s="315">
        <f>H94</f>
        <v>793646.92200000014</v>
      </c>
      <c r="I95" s="315">
        <f>I94</f>
        <v>3431281.8981999992</v>
      </c>
      <c r="J95" s="316"/>
    </row>
    <row r="96" spans="1:16" ht="16" customHeight="1">
      <c r="A96" s="256">
        <v>5.3</v>
      </c>
      <c r="B96" s="257" t="s">
        <v>151</v>
      </c>
      <c r="C96" s="317">
        <v>1115</v>
      </c>
      <c r="D96" s="318" t="s">
        <v>24</v>
      </c>
      <c r="E96" s="258">
        <v>630</v>
      </c>
      <c r="F96" s="258">
        <f t="shared" ref="F96" si="21">E96*C96</f>
        <v>702450</v>
      </c>
      <c r="G96" s="258">
        <v>192</v>
      </c>
      <c r="H96" s="258">
        <f t="shared" ref="H96" si="22">C96*G96</f>
        <v>214080</v>
      </c>
      <c r="I96" s="258">
        <f t="shared" ref="I96" si="23">H96+F96</f>
        <v>916530</v>
      </c>
      <c r="J96" s="319"/>
    </row>
    <row r="97" spans="1:16" ht="16" customHeight="1">
      <c r="A97" s="138">
        <v>5.4</v>
      </c>
      <c r="B97" s="139" t="s">
        <v>223</v>
      </c>
      <c r="C97" s="295">
        <v>1062</v>
      </c>
      <c r="D97" s="260" t="s">
        <v>93</v>
      </c>
      <c r="E97" s="258">
        <v>90</v>
      </c>
      <c r="F97" s="258">
        <f t="shared" ref="F97:F101" si="24">E97*C97</f>
        <v>95580</v>
      </c>
      <c r="G97" s="258">
        <v>55</v>
      </c>
      <c r="H97" s="258">
        <f t="shared" ref="H97:H101" si="25">C97*G97</f>
        <v>58410</v>
      </c>
      <c r="I97" s="258">
        <f t="shared" ref="I97:I101" si="26">H97+F97</f>
        <v>153990</v>
      </c>
      <c r="J97" s="296"/>
    </row>
    <row r="98" spans="1:16" ht="16" customHeight="1">
      <c r="A98" s="138">
        <v>5.5</v>
      </c>
      <c r="B98" s="139" t="s">
        <v>177</v>
      </c>
      <c r="C98" s="295">
        <v>144</v>
      </c>
      <c r="D98" s="260" t="s">
        <v>93</v>
      </c>
      <c r="E98" s="258">
        <v>90</v>
      </c>
      <c r="F98" s="258">
        <f t="shared" si="24"/>
        <v>12960</v>
      </c>
      <c r="G98" s="258">
        <v>50</v>
      </c>
      <c r="H98" s="258">
        <f t="shared" si="25"/>
        <v>7200</v>
      </c>
      <c r="I98" s="258">
        <f t="shared" si="26"/>
        <v>20160</v>
      </c>
      <c r="J98" s="296"/>
    </row>
    <row r="99" spans="1:16" ht="16" customHeight="1">
      <c r="A99" s="138">
        <v>5.6</v>
      </c>
      <c r="B99" s="238" t="s">
        <v>592</v>
      </c>
      <c r="C99" s="295">
        <v>88</v>
      </c>
      <c r="D99" s="260" t="s">
        <v>93</v>
      </c>
      <c r="E99" s="258">
        <v>104</v>
      </c>
      <c r="F99" s="258">
        <f t="shared" si="24"/>
        <v>9152</v>
      </c>
      <c r="G99" s="258">
        <v>40</v>
      </c>
      <c r="H99" s="258">
        <f t="shared" si="25"/>
        <v>3520</v>
      </c>
      <c r="I99" s="258">
        <f t="shared" si="26"/>
        <v>12672</v>
      </c>
      <c r="J99" s="302"/>
    </row>
    <row r="100" spans="1:16" ht="16" customHeight="1">
      <c r="A100" s="138">
        <v>5.7</v>
      </c>
      <c r="B100" s="139" t="s">
        <v>593</v>
      </c>
      <c r="C100" s="140">
        <v>57</v>
      </c>
      <c r="D100" s="260" t="s">
        <v>24</v>
      </c>
      <c r="E100" s="258">
        <v>429</v>
      </c>
      <c r="F100" s="258">
        <f t="shared" si="24"/>
        <v>24453</v>
      </c>
      <c r="G100" s="258">
        <v>158</v>
      </c>
      <c r="H100" s="258">
        <f t="shared" si="25"/>
        <v>9006</v>
      </c>
      <c r="I100" s="258">
        <f t="shared" si="26"/>
        <v>33459</v>
      </c>
      <c r="J100" s="299"/>
    </row>
    <row r="101" spans="1:16" ht="16" customHeight="1">
      <c r="A101" s="138">
        <v>5.8</v>
      </c>
      <c r="B101" s="139" t="s">
        <v>225</v>
      </c>
      <c r="C101" s="140">
        <f>1115+57</f>
        <v>1172</v>
      </c>
      <c r="D101" s="260" t="s">
        <v>24</v>
      </c>
      <c r="E101" s="258">
        <v>114</v>
      </c>
      <c r="F101" s="258">
        <f t="shared" si="24"/>
        <v>133608</v>
      </c>
      <c r="G101" s="258">
        <v>64</v>
      </c>
      <c r="H101" s="258">
        <f t="shared" si="25"/>
        <v>75008</v>
      </c>
      <c r="I101" s="258">
        <f t="shared" si="26"/>
        <v>208616</v>
      </c>
      <c r="J101" s="320"/>
      <c r="K101" s="136">
        <v>5</v>
      </c>
      <c r="L101" s="141">
        <f>SUM(E89:E93,E96:E101)</f>
        <v>4218.09</v>
      </c>
      <c r="M101" s="141">
        <f t="shared" ref="M101:P101" si="27">SUM(F89:F93,F96:F101)</f>
        <v>996948.01329999999</v>
      </c>
      <c r="N101" s="141">
        <f t="shared" si="27"/>
        <v>1309</v>
      </c>
      <c r="O101" s="141">
        <f t="shared" si="27"/>
        <v>374164.7</v>
      </c>
      <c r="P101" s="141">
        <f t="shared" si="27"/>
        <v>1371112.7132999999</v>
      </c>
    </row>
    <row r="102" spans="1:16" ht="16" customHeight="1">
      <c r="A102" s="267">
        <v>6</v>
      </c>
      <c r="B102" s="321" t="s">
        <v>103</v>
      </c>
      <c r="C102" s="322"/>
      <c r="D102" s="294"/>
      <c r="E102" s="304"/>
      <c r="F102" s="304"/>
      <c r="G102" s="304"/>
      <c r="H102" s="304"/>
      <c r="I102" s="304"/>
      <c r="J102" s="296"/>
    </row>
    <row r="103" spans="1:16" ht="16" customHeight="1">
      <c r="A103" s="138">
        <v>6.1</v>
      </c>
      <c r="B103" s="237" t="s">
        <v>594</v>
      </c>
      <c r="C103" s="140">
        <f>188.1-73.44</f>
        <v>114.66</v>
      </c>
      <c r="D103" s="260" t="s">
        <v>24</v>
      </c>
      <c r="E103" s="258">
        <v>569.63</v>
      </c>
      <c r="F103" s="258">
        <f t="shared" ref="F103" si="28">E103*C103</f>
        <v>65313.775799999996</v>
      </c>
      <c r="G103" s="258">
        <v>339.89</v>
      </c>
      <c r="H103" s="258">
        <f t="shared" ref="H103" si="29">C103*G103</f>
        <v>38971.787399999994</v>
      </c>
      <c r="I103" s="258">
        <f t="shared" ref="I103" si="30">H103+F103</f>
        <v>104285.56319999999</v>
      </c>
      <c r="J103" s="296"/>
    </row>
    <row r="104" spans="1:16" ht="16" customHeight="1">
      <c r="A104" s="138">
        <v>6.2</v>
      </c>
      <c r="B104" s="237" t="s">
        <v>595</v>
      </c>
      <c r="C104" s="140">
        <v>73.400000000000006</v>
      </c>
      <c r="D104" s="260" t="s">
        <v>24</v>
      </c>
      <c r="E104" s="258">
        <v>375.27</v>
      </c>
      <c r="F104" s="258">
        <f t="shared" ref="F104:F112" si="31">E104*C104</f>
        <v>27544.817999999999</v>
      </c>
      <c r="G104" s="258">
        <v>440.13</v>
      </c>
      <c r="H104" s="258">
        <f t="shared" ref="H104:H112" si="32">C104*G104</f>
        <v>32305.542000000001</v>
      </c>
      <c r="I104" s="258">
        <f t="shared" ref="I104:I112" si="33">H104+F104</f>
        <v>59850.36</v>
      </c>
      <c r="J104" s="296"/>
    </row>
    <row r="105" spans="1:16" ht="16" customHeight="1">
      <c r="A105" s="138">
        <v>6.3</v>
      </c>
      <c r="B105" s="139" t="s">
        <v>152</v>
      </c>
      <c r="C105" s="140">
        <v>1268</v>
      </c>
      <c r="D105" s="260" t="s">
        <v>24</v>
      </c>
      <c r="E105" s="258">
        <v>298</v>
      </c>
      <c r="F105" s="258">
        <f t="shared" si="31"/>
        <v>377864</v>
      </c>
      <c r="G105" s="258">
        <v>94</v>
      </c>
      <c r="H105" s="258">
        <f t="shared" si="32"/>
        <v>119192</v>
      </c>
      <c r="I105" s="258">
        <f t="shared" si="33"/>
        <v>497056</v>
      </c>
      <c r="J105" s="296"/>
    </row>
    <row r="106" spans="1:16" ht="16" customHeight="1">
      <c r="A106" s="138">
        <v>6.4</v>
      </c>
      <c r="B106" s="139" t="s">
        <v>196</v>
      </c>
      <c r="C106" s="140">
        <v>1800</v>
      </c>
      <c r="D106" s="260" t="s">
        <v>24</v>
      </c>
      <c r="E106" s="258">
        <v>84</v>
      </c>
      <c r="F106" s="258">
        <f t="shared" si="31"/>
        <v>151200</v>
      </c>
      <c r="G106" s="258">
        <v>87</v>
      </c>
      <c r="H106" s="258">
        <f t="shared" si="32"/>
        <v>156600</v>
      </c>
      <c r="I106" s="258">
        <f t="shared" si="33"/>
        <v>307800</v>
      </c>
      <c r="J106" s="296"/>
    </row>
    <row r="107" spans="1:16" ht="16" customHeight="1">
      <c r="A107" s="138">
        <v>6.5</v>
      </c>
      <c r="B107" s="139" t="s">
        <v>197</v>
      </c>
      <c r="C107" s="140">
        <v>618</v>
      </c>
      <c r="D107" s="260" t="s">
        <v>24</v>
      </c>
      <c r="E107" s="258">
        <v>84</v>
      </c>
      <c r="F107" s="258">
        <f t="shared" si="31"/>
        <v>51912</v>
      </c>
      <c r="G107" s="258">
        <v>95</v>
      </c>
      <c r="H107" s="258">
        <f t="shared" si="32"/>
        <v>58710</v>
      </c>
      <c r="I107" s="258">
        <f t="shared" si="33"/>
        <v>110622</v>
      </c>
      <c r="J107" s="296"/>
    </row>
    <row r="108" spans="1:16" ht="16" customHeight="1">
      <c r="A108" s="138">
        <v>6.6</v>
      </c>
      <c r="B108" s="139" t="s">
        <v>412</v>
      </c>
      <c r="C108" s="140">
        <v>262.39999999999998</v>
      </c>
      <c r="D108" s="260" t="s">
        <v>24</v>
      </c>
      <c r="E108" s="258">
        <v>461</v>
      </c>
      <c r="F108" s="258">
        <f t="shared" si="31"/>
        <v>120966.39999999999</v>
      </c>
      <c r="G108" s="258">
        <v>166</v>
      </c>
      <c r="H108" s="258">
        <f t="shared" si="32"/>
        <v>43558.399999999994</v>
      </c>
      <c r="I108" s="258">
        <f t="shared" si="33"/>
        <v>164524.79999999999</v>
      </c>
      <c r="J108" s="296"/>
    </row>
    <row r="109" spans="1:16" ht="16" customHeight="1">
      <c r="A109" s="138">
        <v>6.7</v>
      </c>
      <c r="B109" s="121" t="s">
        <v>596</v>
      </c>
      <c r="C109" s="140">
        <v>174</v>
      </c>
      <c r="D109" s="260" t="s">
        <v>24</v>
      </c>
      <c r="E109" s="258">
        <v>350</v>
      </c>
      <c r="F109" s="258">
        <f t="shared" si="31"/>
        <v>60900</v>
      </c>
      <c r="G109" s="258">
        <v>128</v>
      </c>
      <c r="H109" s="258">
        <f t="shared" si="32"/>
        <v>22272</v>
      </c>
      <c r="I109" s="258">
        <f t="shared" si="33"/>
        <v>83172</v>
      </c>
      <c r="J109" s="238"/>
    </row>
    <row r="110" spans="1:16" ht="16" customHeight="1">
      <c r="A110" s="138">
        <v>6.8</v>
      </c>
      <c r="B110" s="237" t="s">
        <v>536</v>
      </c>
      <c r="C110" s="140">
        <v>1175</v>
      </c>
      <c r="D110" s="260" t="s">
        <v>93</v>
      </c>
      <c r="E110" s="258">
        <v>100</v>
      </c>
      <c r="F110" s="258">
        <f t="shared" si="31"/>
        <v>117500</v>
      </c>
      <c r="G110" s="258">
        <v>44</v>
      </c>
      <c r="H110" s="258">
        <f t="shared" si="32"/>
        <v>51700</v>
      </c>
      <c r="I110" s="258">
        <f t="shared" si="33"/>
        <v>169200</v>
      </c>
      <c r="J110" s="303"/>
    </row>
    <row r="111" spans="1:16" ht="16" customHeight="1">
      <c r="A111" s="138">
        <v>6.9</v>
      </c>
      <c r="B111" s="139" t="s">
        <v>198</v>
      </c>
      <c r="C111" s="140">
        <v>1049</v>
      </c>
      <c r="D111" s="260" t="s">
        <v>24</v>
      </c>
      <c r="E111" s="258">
        <v>80</v>
      </c>
      <c r="F111" s="258">
        <f t="shared" si="31"/>
        <v>83920</v>
      </c>
      <c r="G111" s="258">
        <v>105</v>
      </c>
      <c r="H111" s="258">
        <f t="shared" si="32"/>
        <v>110145</v>
      </c>
      <c r="I111" s="258">
        <f t="shared" si="33"/>
        <v>194065</v>
      </c>
      <c r="J111" s="303"/>
    </row>
    <row r="112" spans="1:16" ht="16" customHeight="1">
      <c r="A112" s="244">
        <v>6.1</v>
      </c>
      <c r="B112" s="139" t="s">
        <v>199</v>
      </c>
      <c r="C112" s="140">
        <v>417</v>
      </c>
      <c r="D112" s="260" t="s">
        <v>24</v>
      </c>
      <c r="E112" s="258">
        <v>80</v>
      </c>
      <c r="F112" s="258">
        <f t="shared" si="31"/>
        <v>33360</v>
      </c>
      <c r="G112" s="258">
        <v>115</v>
      </c>
      <c r="H112" s="258">
        <f t="shared" si="32"/>
        <v>47955</v>
      </c>
      <c r="I112" s="258">
        <f t="shared" si="33"/>
        <v>81315</v>
      </c>
      <c r="J112" s="303"/>
    </row>
    <row r="113" spans="1:16" ht="16" customHeight="1">
      <c r="A113" s="244">
        <v>6.11</v>
      </c>
      <c r="B113" s="237" t="s">
        <v>183</v>
      </c>
      <c r="C113" s="140">
        <v>262.39999999999998</v>
      </c>
      <c r="D113" s="260" t="s">
        <v>24</v>
      </c>
      <c r="E113" s="258">
        <v>114</v>
      </c>
      <c r="F113" s="258">
        <f t="shared" ref="F113" si="34">E113*C113</f>
        <v>29913.599999999999</v>
      </c>
      <c r="G113" s="258">
        <v>70</v>
      </c>
      <c r="H113" s="258">
        <f t="shared" ref="H113" si="35">C113*G113</f>
        <v>18368</v>
      </c>
      <c r="I113" s="258">
        <f t="shared" ref="I113" si="36">H113+F113</f>
        <v>48281.599999999999</v>
      </c>
      <c r="J113" s="299"/>
      <c r="K113" s="136">
        <v>6</v>
      </c>
      <c r="L113" s="141">
        <f>SUM(E103:E113)</f>
        <v>2595.9</v>
      </c>
      <c r="M113" s="141">
        <f t="shared" ref="M113:P113" si="37">SUM(F103:F113)</f>
        <v>1120394.5938000001</v>
      </c>
      <c r="N113" s="141">
        <f t="shared" si="37"/>
        <v>1684.02</v>
      </c>
      <c r="O113" s="141">
        <f t="shared" si="37"/>
        <v>699777.72939999995</v>
      </c>
      <c r="P113" s="141">
        <f t="shared" si="37"/>
        <v>1820172.3232000002</v>
      </c>
    </row>
    <row r="114" spans="1:16" ht="16" customHeight="1">
      <c r="A114" s="267">
        <v>7</v>
      </c>
      <c r="B114" s="268" t="s">
        <v>597</v>
      </c>
      <c r="C114" s="323"/>
      <c r="D114" s="294"/>
      <c r="E114" s="304"/>
      <c r="F114" s="140"/>
      <c r="G114" s="140"/>
      <c r="H114" s="140"/>
      <c r="I114" s="258"/>
      <c r="J114" s="296"/>
    </row>
    <row r="115" spans="1:16" ht="16" customHeight="1">
      <c r="A115" s="138">
        <v>7.1</v>
      </c>
      <c r="B115" s="237" t="s">
        <v>598</v>
      </c>
      <c r="C115" s="324">
        <v>16</v>
      </c>
      <c r="D115" s="260" t="s">
        <v>27</v>
      </c>
      <c r="E115" s="258">
        <v>14453.6</v>
      </c>
      <c r="F115" s="258">
        <f t="shared" ref="F115" si="38">E115*C115</f>
        <v>231257.60000000001</v>
      </c>
      <c r="G115" s="258">
        <v>1360</v>
      </c>
      <c r="H115" s="258">
        <f t="shared" ref="H115" si="39">C115*G115</f>
        <v>21760</v>
      </c>
      <c r="I115" s="258">
        <f t="shared" ref="I115" si="40">H115+F115</f>
        <v>253017.60000000001</v>
      </c>
      <c r="J115" s="296"/>
    </row>
    <row r="116" spans="1:16" ht="16" customHeight="1">
      <c r="A116" s="138">
        <v>7.2</v>
      </c>
      <c r="B116" s="237" t="s">
        <v>599</v>
      </c>
      <c r="C116" s="324">
        <v>32</v>
      </c>
      <c r="D116" s="260" t="s">
        <v>27</v>
      </c>
      <c r="E116" s="258">
        <v>14535.6</v>
      </c>
      <c r="F116" s="258">
        <f t="shared" ref="F116:F122" si="41">E116*C116</f>
        <v>465139.20000000001</v>
      </c>
      <c r="G116" s="258">
        <v>1355</v>
      </c>
      <c r="H116" s="258">
        <f t="shared" ref="H116:H122" si="42">C116*G116</f>
        <v>43360</v>
      </c>
      <c r="I116" s="258">
        <f t="shared" ref="I116:I122" si="43">H116+F116</f>
        <v>508499.20000000001</v>
      </c>
      <c r="J116" s="296"/>
    </row>
    <row r="117" spans="1:16" ht="16" customHeight="1">
      <c r="A117" s="138">
        <v>7.3</v>
      </c>
      <c r="B117" s="237" t="s">
        <v>600</v>
      </c>
      <c r="C117" s="324">
        <v>32</v>
      </c>
      <c r="D117" s="260" t="s">
        <v>27</v>
      </c>
      <c r="E117" s="258">
        <v>9059.7999999999993</v>
      </c>
      <c r="F117" s="258">
        <f t="shared" si="41"/>
        <v>289913.59999999998</v>
      </c>
      <c r="G117" s="258">
        <v>1068</v>
      </c>
      <c r="H117" s="258">
        <f t="shared" si="42"/>
        <v>34176</v>
      </c>
      <c r="I117" s="258">
        <f t="shared" si="43"/>
        <v>324089.59999999998</v>
      </c>
      <c r="J117" s="296"/>
    </row>
    <row r="118" spans="1:16" ht="16" customHeight="1">
      <c r="A118" s="138">
        <v>7.4</v>
      </c>
      <c r="B118" s="237" t="s">
        <v>284</v>
      </c>
      <c r="C118" s="324">
        <v>16</v>
      </c>
      <c r="D118" s="260" t="s">
        <v>27</v>
      </c>
      <c r="E118" s="258">
        <v>1640</v>
      </c>
      <c r="F118" s="258">
        <f t="shared" si="41"/>
        <v>26240</v>
      </c>
      <c r="G118" s="258">
        <v>245</v>
      </c>
      <c r="H118" s="258">
        <f t="shared" si="42"/>
        <v>3920</v>
      </c>
      <c r="I118" s="258">
        <f t="shared" si="43"/>
        <v>30160</v>
      </c>
      <c r="J118" s="296"/>
    </row>
    <row r="119" spans="1:16" ht="16" customHeight="1">
      <c r="A119" s="138">
        <v>7.5</v>
      </c>
      <c r="B119" s="237" t="s">
        <v>601</v>
      </c>
      <c r="C119" s="324">
        <v>8</v>
      </c>
      <c r="D119" s="260" t="s">
        <v>27</v>
      </c>
      <c r="E119" s="258">
        <v>1590</v>
      </c>
      <c r="F119" s="258">
        <f t="shared" si="41"/>
        <v>12720</v>
      </c>
      <c r="G119" s="258">
        <v>220</v>
      </c>
      <c r="H119" s="258">
        <f t="shared" si="42"/>
        <v>1760</v>
      </c>
      <c r="I119" s="258">
        <f t="shared" si="43"/>
        <v>14480</v>
      </c>
      <c r="J119" s="296"/>
    </row>
    <row r="120" spans="1:16" ht="16" customHeight="1">
      <c r="A120" s="138">
        <v>7.6</v>
      </c>
      <c r="B120" s="298" t="s">
        <v>602</v>
      </c>
      <c r="C120" s="324">
        <v>16</v>
      </c>
      <c r="D120" s="260" t="s">
        <v>27</v>
      </c>
      <c r="E120" s="258">
        <v>1240</v>
      </c>
      <c r="F120" s="258">
        <f t="shared" si="41"/>
        <v>19840</v>
      </c>
      <c r="G120" s="258">
        <v>124</v>
      </c>
      <c r="H120" s="258">
        <f t="shared" si="42"/>
        <v>1984</v>
      </c>
      <c r="I120" s="258">
        <f t="shared" si="43"/>
        <v>21824</v>
      </c>
      <c r="J120" s="296"/>
    </row>
    <row r="121" spans="1:16" ht="16" customHeight="1">
      <c r="A121" s="138">
        <v>7.7</v>
      </c>
      <c r="B121" s="298" t="s">
        <v>603</v>
      </c>
      <c r="C121" s="324">
        <v>6</v>
      </c>
      <c r="D121" s="260" t="s">
        <v>27</v>
      </c>
      <c r="E121" s="258">
        <v>3340</v>
      </c>
      <c r="F121" s="258">
        <f t="shared" si="41"/>
        <v>20040</v>
      </c>
      <c r="G121" s="258">
        <v>334</v>
      </c>
      <c r="H121" s="258">
        <f t="shared" si="42"/>
        <v>2004</v>
      </c>
      <c r="I121" s="258">
        <f t="shared" si="43"/>
        <v>22044</v>
      </c>
      <c r="J121" s="296"/>
    </row>
    <row r="122" spans="1:16" ht="16" customHeight="1">
      <c r="A122" s="252">
        <v>7.8</v>
      </c>
      <c r="B122" s="325" t="s">
        <v>131</v>
      </c>
      <c r="C122" s="326">
        <v>3053</v>
      </c>
      <c r="D122" s="272" t="s">
        <v>604</v>
      </c>
      <c r="E122" s="137">
        <v>16</v>
      </c>
      <c r="F122" s="137">
        <f t="shared" si="41"/>
        <v>48848</v>
      </c>
      <c r="G122" s="137">
        <v>10</v>
      </c>
      <c r="H122" s="137">
        <f t="shared" si="42"/>
        <v>30530</v>
      </c>
      <c r="I122" s="137">
        <f t="shared" si="43"/>
        <v>79378</v>
      </c>
      <c r="J122" s="309"/>
    </row>
    <row r="123" spans="1:16" ht="16" customHeight="1">
      <c r="A123" s="274"/>
      <c r="B123" s="275" t="s">
        <v>21</v>
      </c>
      <c r="C123" s="276"/>
      <c r="D123" s="277"/>
      <c r="E123" s="278"/>
      <c r="F123" s="279">
        <f>SUM(F95:F122)</f>
        <v>5850230.9699999988</v>
      </c>
      <c r="G123" s="279"/>
      <c r="H123" s="279">
        <f>SUM(H95:H122)</f>
        <v>2000142.6514000001</v>
      </c>
      <c r="I123" s="279">
        <f>SUM(I95:I122)</f>
        <v>7850373.6213999987</v>
      </c>
      <c r="J123" s="280"/>
    </row>
    <row r="124" spans="1:16" ht="15.4" customHeight="1">
      <c r="A124" s="310"/>
      <c r="B124" s="311" t="s">
        <v>22</v>
      </c>
      <c r="C124" s="312"/>
      <c r="D124" s="284"/>
      <c r="E124" s="285"/>
      <c r="F124" s="286">
        <f>F123</f>
        <v>5850230.9699999988</v>
      </c>
      <c r="G124" s="286"/>
      <c r="H124" s="286">
        <f>H123</f>
        <v>2000142.6514000001</v>
      </c>
      <c r="I124" s="286">
        <f>I123</f>
        <v>7850373.6213999987</v>
      </c>
      <c r="J124" s="316"/>
    </row>
    <row r="125" spans="1:16" ht="15.4" customHeight="1">
      <c r="A125" s="256">
        <v>7.9</v>
      </c>
      <c r="B125" s="327" t="s">
        <v>132</v>
      </c>
      <c r="C125" s="258">
        <v>114</v>
      </c>
      <c r="D125" s="318" t="s">
        <v>604</v>
      </c>
      <c r="E125" s="258">
        <v>31</v>
      </c>
      <c r="F125" s="258">
        <f t="shared" ref="F125" si="44">E125*C125</f>
        <v>3534</v>
      </c>
      <c r="G125" s="258">
        <v>10</v>
      </c>
      <c r="H125" s="258">
        <f t="shared" ref="H125" si="45">C125*G125</f>
        <v>1140</v>
      </c>
      <c r="I125" s="258">
        <f t="shared" ref="I125" si="46">H125+F125</f>
        <v>4674</v>
      </c>
      <c r="J125" s="319"/>
    </row>
    <row r="126" spans="1:16" ht="15.4" customHeight="1">
      <c r="A126" s="244">
        <v>7.1</v>
      </c>
      <c r="B126" s="328" t="s">
        <v>201</v>
      </c>
      <c r="C126" s="324">
        <v>48</v>
      </c>
      <c r="D126" s="260" t="s">
        <v>27</v>
      </c>
      <c r="E126" s="258">
        <v>1050</v>
      </c>
      <c r="F126" s="258">
        <f t="shared" ref="F126:F129" si="47">E126*C126</f>
        <v>50400</v>
      </c>
      <c r="G126" s="258"/>
      <c r="H126" s="258"/>
      <c r="I126" s="258">
        <f t="shared" ref="I126:I129" si="48">H126+F126</f>
        <v>50400</v>
      </c>
      <c r="J126" s="329"/>
    </row>
    <row r="127" spans="1:16" ht="15.4" customHeight="1">
      <c r="A127" s="244">
        <v>7.11</v>
      </c>
      <c r="B127" s="298" t="s">
        <v>200</v>
      </c>
      <c r="C127" s="324">
        <v>144</v>
      </c>
      <c r="D127" s="260" t="s">
        <v>27</v>
      </c>
      <c r="E127" s="258">
        <v>340</v>
      </c>
      <c r="F127" s="258">
        <f t="shared" si="47"/>
        <v>48960</v>
      </c>
      <c r="G127" s="258"/>
      <c r="H127" s="258"/>
      <c r="I127" s="258">
        <f t="shared" si="48"/>
        <v>48960</v>
      </c>
      <c r="J127" s="329"/>
    </row>
    <row r="128" spans="1:16" ht="15.4" customHeight="1">
      <c r="A128" s="138">
        <v>7.12</v>
      </c>
      <c r="B128" s="298" t="s">
        <v>202</v>
      </c>
      <c r="C128" s="324">
        <v>16</v>
      </c>
      <c r="D128" s="260" t="s">
        <v>27</v>
      </c>
      <c r="E128" s="258">
        <v>285</v>
      </c>
      <c r="F128" s="258">
        <f t="shared" si="47"/>
        <v>4560</v>
      </c>
      <c r="G128" s="258"/>
      <c r="H128" s="258"/>
      <c r="I128" s="258">
        <f t="shared" si="48"/>
        <v>4560</v>
      </c>
      <c r="J128" s="329"/>
    </row>
    <row r="129" spans="1:16" ht="15.4" customHeight="1">
      <c r="A129" s="252">
        <v>7.13</v>
      </c>
      <c r="B129" s="330" t="s">
        <v>605</v>
      </c>
      <c r="C129" s="331">
        <v>8</v>
      </c>
      <c r="D129" s="260" t="s">
        <v>27</v>
      </c>
      <c r="E129" s="258">
        <v>3996</v>
      </c>
      <c r="F129" s="258">
        <f t="shared" si="47"/>
        <v>31968</v>
      </c>
      <c r="G129" s="258">
        <v>250</v>
      </c>
      <c r="H129" s="258">
        <f t="shared" ref="H129" si="49">C129*G129</f>
        <v>2000</v>
      </c>
      <c r="I129" s="258">
        <f t="shared" si="48"/>
        <v>33968</v>
      </c>
      <c r="J129" s="320"/>
      <c r="K129" s="136">
        <v>7</v>
      </c>
      <c r="L129" s="141">
        <f>SUM(E115:E122,E125:E129)</f>
        <v>51577</v>
      </c>
      <c r="M129" s="141">
        <f t="shared" ref="M129:P129" si="50">SUM(F115:F122,F125:F129)</f>
        <v>1253420.3999999999</v>
      </c>
      <c r="N129" s="141">
        <f t="shared" si="50"/>
        <v>4976</v>
      </c>
      <c r="O129" s="141">
        <f t="shared" si="50"/>
        <v>142634</v>
      </c>
      <c r="P129" s="141">
        <f t="shared" si="50"/>
        <v>1396054.4</v>
      </c>
    </row>
    <row r="130" spans="1:16" ht="15.4" customHeight="1">
      <c r="A130" s="267">
        <v>8</v>
      </c>
      <c r="B130" s="268" t="s">
        <v>105</v>
      </c>
      <c r="C130" s="323"/>
      <c r="D130" s="294"/>
      <c r="E130" s="304"/>
      <c r="F130" s="304"/>
      <c r="G130" s="304"/>
      <c r="H130" s="304"/>
      <c r="I130" s="304"/>
      <c r="J130" s="296"/>
    </row>
    <row r="131" spans="1:16" ht="15.4" customHeight="1">
      <c r="A131" s="138">
        <v>8.1</v>
      </c>
      <c r="B131" s="237" t="s">
        <v>645</v>
      </c>
      <c r="C131" s="295">
        <v>3359</v>
      </c>
      <c r="D131" s="260" t="s">
        <v>24</v>
      </c>
      <c r="E131" s="258">
        <v>43</v>
      </c>
      <c r="F131" s="258">
        <f t="shared" ref="F131" si="51">E131*C131</f>
        <v>144437</v>
      </c>
      <c r="G131" s="258">
        <v>30</v>
      </c>
      <c r="H131" s="258">
        <f t="shared" ref="H131" si="52">C131*G131</f>
        <v>100770</v>
      </c>
      <c r="I131" s="258">
        <f t="shared" ref="I131" si="53">H131+F131</f>
        <v>245207</v>
      </c>
      <c r="J131" s="296"/>
    </row>
    <row r="132" spans="1:16" ht="15.4" customHeight="1">
      <c r="A132" s="138">
        <v>8.1999999999999993</v>
      </c>
      <c r="B132" s="237" t="s">
        <v>646</v>
      </c>
      <c r="C132" s="295">
        <v>1338</v>
      </c>
      <c r="D132" s="260" t="s">
        <v>24</v>
      </c>
      <c r="E132" s="258">
        <v>43</v>
      </c>
      <c r="F132" s="258">
        <f t="shared" ref="F132:F134" si="54">E132*C132</f>
        <v>57534</v>
      </c>
      <c r="G132" s="258">
        <v>34</v>
      </c>
      <c r="H132" s="258">
        <f t="shared" ref="H132:H134" si="55">C132*G132</f>
        <v>45492</v>
      </c>
      <c r="I132" s="258">
        <f t="shared" ref="I132:I134" si="56">H132+F132</f>
        <v>103026</v>
      </c>
      <c r="J132" s="296"/>
    </row>
    <row r="133" spans="1:16" ht="15.4" customHeight="1">
      <c r="A133" s="138">
        <v>8.3000000000000007</v>
      </c>
      <c r="B133" s="237" t="s">
        <v>230</v>
      </c>
      <c r="C133" s="295">
        <f>447</f>
        <v>447</v>
      </c>
      <c r="D133" s="260" t="s">
        <v>24</v>
      </c>
      <c r="E133" s="258">
        <v>92</v>
      </c>
      <c r="F133" s="258">
        <f t="shared" si="54"/>
        <v>41124</v>
      </c>
      <c r="G133" s="258">
        <v>38</v>
      </c>
      <c r="H133" s="258">
        <f t="shared" si="55"/>
        <v>16986</v>
      </c>
      <c r="I133" s="258">
        <f t="shared" si="56"/>
        <v>58110</v>
      </c>
      <c r="J133" s="296"/>
    </row>
    <row r="134" spans="1:16" ht="15.4" customHeight="1">
      <c r="A134" s="138">
        <v>8.4</v>
      </c>
      <c r="B134" s="237" t="s">
        <v>231</v>
      </c>
      <c r="C134" s="295">
        <v>650</v>
      </c>
      <c r="D134" s="260" t="s">
        <v>87</v>
      </c>
      <c r="E134" s="258">
        <v>62</v>
      </c>
      <c r="F134" s="258">
        <f t="shared" si="54"/>
        <v>40300</v>
      </c>
      <c r="G134" s="258">
        <v>35</v>
      </c>
      <c r="H134" s="258">
        <f t="shared" si="55"/>
        <v>22750</v>
      </c>
      <c r="I134" s="258">
        <f t="shared" si="56"/>
        <v>63050</v>
      </c>
      <c r="J134" s="299"/>
      <c r="K134" s="136">
        <v>8</v>
      </c>
      <c r="L134" s="141">
        <f>SUM(E131:E134)</f>
        <v>240</v>
      </c>
      <c r="M134" s="141">
        <f t="shared" ref="M134:P134" si="57">SUM(F131:F134)</f>
        <v>283395</v>
      </c>
      <c r="N134" s="141">
        <f t="shared" si="57"/>
        <v>137</v>
      </c>
      <c r="O134" s="141">
        <f t="shared" si="57"/>
        <v>185998</v>
      </c>
      <c r="P134" s="141">
        <f t="shared" si="57"/>
        <v>469393</v>
      </c>
    </row>
    <row r="135" spans="1:16" ht="15.4" customHeight="1">
      <c r="A135" s="267">
        <v>9</v>
      </c>
      <c r="B135" s="268" t="s">
        <v>106</v>
      </c>
      <c r="C135" s="323"/>
      <c r="D135" s="294"/>
      <c r="E135" s="304"/>
      <c r="F135" s="304"/>
      <c r="G135" s="304"/>
      <c r="H135" s="304"/>
      <c r="I135" s="304"/>
      <c r="J135" s="302"/>
    </row>
    <row r="136" spans="1:16" ht="15.4" customHeight="1">
      <c r="A136" s="138">
        <v>9.1</v>
      </c>
      <c r="B136" s="237" t="s">
        <v>235</v>
      </c>
      <c r="C136" s="324">
        <v>16</v>
      </c>
      <c r="D136" s="260" t="s">
        <v>27</v>
      </c>
      <c r="E136" s="258">
        <v>3608.5</v>
      </c>
      <c r="F136" s="258">
        <f t="shared" ref="F136" si="58">E136*C136</f>
        <v>57736</v>
      </c>
      <c r="G136" s="258">
        <v>450</v>
      </c>
      <c r="H136" s="258">
        <f t="shared" ref="H136" si="59">C136*G136</f>
        <v>7200</v>
      </c>
      <c r="I136" s="258">
        <f t="shared" ref="I136" si="60">H136+F136</f>
        <v>64936</v>
      </c>
      <c r="J136" s="238"/>
    </row>
    <row r="137" spans="1:16" ht="15.4" customHeight="1">
      <c r="A137" s="138">
        <v>9.1999999999999993</v>
      </c>
      <c r="B137" s="237" t="s">
        <v>236</v>
      </c>
      <c r="C137" s="324">
        <v>16</v>
      </c>
      <c r="D137" s="260" t="s">
        <v>27</v>
      </c>
      <c r="E137" s="258">
        <v>1028.04</v>
      </c>
      <c r="F137" s="258">
        <f t="shared" ref="F137:F152" si="61">E137*C137</f>
        <v>16448.64</v>
      </c>
      <c r="G137" s="258">
        <v>450</v>
      </c>
      <c r="H137" s="258">
        <f t="shared" ref="H137:H152" si="62">C137*G137</f>
        <v>7200</v>
      </c>
      <c r="I137" s="258">
        <f t="shared" ref="I137:I152" si="63">H137+F137</f>
        <v>23648.639999999999</v>
      </c>
      <c r="J137" s="296"/>
    </row>
    <row r="138" spans="1:16" ht="15.4" customHeight="1">
      <c r="A138" s="138">
        <v>9.3000000000000007</v>
      </c>
      <c r="B138" s="237" t="s">
        <v>606</v>
      </c>
      <c r="C138" s="324">
        <v>16</v>
      </c>
      <c r="D138" s="260" t="s">
        <v>27</v>
      </c>
      <c r="E138" s="258">
        <v>490</v>
      </c>
      <c r="F138" s="258">
        <f t="shared" si="61"/>
        <v>7840</v>
      </c>
      <c r="G138" s="258"/>
      <c r="H138" s="258"/>
      <c r="I138" s="258">
        <f t="shared" si="63"/>
        <v>7840</v>
      </c>
      <c r="J138" s="296"/>
    </row>
    <row r="139" spans="1:16" ht="15.4" customHeight="1">
      <c r="A139" s="138">
        <v>9.4</v>
      </c>
      <c r="B139" s="237" t="s">
        <v>607</v>
      </c>
      <c r="C139" s="324">
        <v>16</v>
      </c>
      <c r="D139" s="260" t="s">
        <v>27</v>
      </c>
      <c r="E139" s="258">
        <v>250</v>
      </c>
      <c r="F139" s="258">
        <f t="shared" si="61"/>
        <v>4000</v>
      </c>
      <c r="G139" s="258"/>
      <c r="H139" s="258"/>
      <c r="I139" s="258">
        <f t="shared" si="63"/>
        <v>4000</v>
      </c>
      <c r="J139" s="296"/>
    </row>
    <row r="140" spans="1:16" ht="15.4" customHeight="1">
      <c r="A140" s="138">
        <v>9.5</v>
      </c>
      <c r="B140" s="237" t="s">
        <v>166</v>
      </c>
      <c r="C140" s="324">
        <v>16</v>
      </c>
      <c r="D140" s="260" t="s">
        <v>27</v>
      </c>
      <c r="E140" s="258">
        <v>150</v>
      </c>
      <c r="F140" s="258">
        <f t="shared" si="61"/>
        <v>2400</v>
      </c>
      <c r="G140" s="258"/>
      <c r="H140" s="258"/>
      <c r="I140" s="258">
        <f t="shared" si="63"/>
        <v>2400</v>
      </c>
      <c r="J140" s="296"/>
    </row>
    <row r="141" spans="1:16" ht="15.4" customHeight="1">
      <c r="A141" s="138">
        <v>9.6</v>
      </c>
      <c r="B141" s="237" t="s">
        <v>158</v>
      </c>
      <c r="C141" s="324">
        <v>16</v>
      </c>
      <c r="D141" s="260" t="s">
        <v>27</v>
      </c>
      <c r="E141" s="258">
        <v>300</v>
      </c>
      <c r="F141" s="258">
        <f t="shared" si="61"/>
        <v>4800</v>
      </c>
      <c r="G141" s="258">
        <v>70</v>
      </c>
      <c r="H141" s="258">
        <f t="shared" si="62"/>
        <v>1120</v>
      </c>
      <c r="I141" s="258">
        <f t="shared" si="63"/>
        <v>5920</v>
      </c>
      <c r="J141" s="296"/>
    </row>
    <row r="142" spans="1:16" ht="15.4" customHeight="1">
      <c r="A142" s="138">
        <v>9.6999999999999993</v>
      </c>
      <c r="B142" s="237" t="s">
        <v>608</v>
      </c>
      <c r="C142" s="324">
        <v>16</v>
      </c>
      <c r="D142" s="260" t="s">
        <v>27</v>
      </c>
      <c r="E142" s="258">
        <v>455</v>
      </c>
      <c r="F142" s="258">
        <f t="shared" si="61"/>
        <v>7280</v>
      </c>
      <c r="G142" s="258">
        <v>70</v>
      </c>
      <c r="H142" s="258">
        <f t="shared" si="62"/>
        <v>1120</v>
      </c>
      <c r="I142" s="258">
        <f t="shared" si="63"/>
        <v>8400</v>
      </c>
      <c r="J142" s="296"/>
    </row>
    <row r="143" spans="1:16" ht="15.4" customHeight="1">
      <c r="A143" s="138">
        <v>9.8000000000000007</v>
      </c>
      <c r="B143" s="237" t="s">
        <v>159</v>
      </c>
      <c r="C143" s="324">
        <v>16</v>
      </c>
      <c r="D143" s="260" t="s">
        <v>27</v>
      </c>
      <c r="E143" s="258">
        <v>400</v>
      </c>
      <c r="F143" s="258">
        <f t="shared" si="61"/>
        <v>6400</v>
      </c>
      <c r="G143" s="258">
        <v>70</v>
      </c>
      <c r="H143" s="258">
        <f t="shared" si="62"/>
        <v>1120</v>
      </c>
      <c r="I143" s="258">
        <f t="shared" si="63"/>
        <v>7520</v>
      </c>
      <c r="J143" s="296"/>
    </row>
    <row r="144" spans="1:16" ht="15.4" customHeight="1">
      <c r="A144" s="138">
        <v>9.9</v>
      </c>
      <c r="B144" s="237" t="s">
        <v>160</v>
      </c>
      <c r="C144" s="324">
        <v>16</v>
      </c>
      <c r="D144" s="260" t="s">
        <v>27</v>
      </c>
      <c r="E144" s="258">
        <v>550</v>
      </c>
      <c r="F144" s="258">
        <f t="shared" si="61"/>
        <v>8800</v>
      </c>
      <c r="G144" s="258">
        <v>100</v>
      </c>
      <c r="H144" s="258">
        <f t="shared" si="62"/>
        <v>1600</v>
      </c>
      <c r="I144" s="258">
        <f t="shared" si="63"/>
        <v>10400</v>
      </c>
      <c r="J144" s="296"/>
    </row>
    <row r="145" spans="1:16" ht="15.4" customHeight="1">
      <c r="A145" s="244">
        <v>9.1</v>
      </c>
      <c r="B145" s="237" t="s">
        <v>237</v>
      </c>
      <c r="C145" s="324">
        <v>16</v>
      </c>
      <c r="D145" s="260" t="s">
        <v>27</v>
      </c>
      <c r="E145" s="258">
        <v>240</v>
      </c>
      <c r="F145" s="258">
        <f t="shared" si="61"/>
        <v>3840</v>
      </c>
      <c r="G145" s="258">
        <v>120</v>
      </c>
      <c r="H145" s="258">
        <f t="shared" si="62"/>
        <v>1920</v>
      </c>
      <c r="I145" s="258">
        <f t="shared" si="63"/>
        <v>5760</v>
      </c>
      <c r="J145" s="296"/>
    </row>
    <row r="146" spans="1:16" ht="15.4" customHeight="1">
      <c r="A146" s="138">
        <v>9.11</v>
      </c>
      <c r="B146" s="237" t="s">
        <v>609</v>
      </c>
      <c r="C146" s="324">
        <v>16</v>
      </c>
      <c r="D146" s="260" t="s">
        <v>27</v>
      </c>
      <c r="E146" s="258">
        <v>200</v>
      </c>
      <c r="F146" s="258">
        <f t="shared" si="61"/>
        <v>3200</v>
      </c>
      <c r="G146" s="258">
        <v>70</v>
      </c>
      <c r="H146" s="258">
        <f t="shared" si="62"/>
        <v>1120</v>
      </c>
      <c r="I146" s="258">
        <f t="shared" si="63"/>
        <v>4320</v>
      </c>
      <c r="J146" s="296"/>
    </row>
    <row r="147" spans="1:16" ht="15.4" customHeight="1">
      <c r="A147" s="138">
        <v>9.1199999999999992</v>
      </c>
      <c r="B147" s="237" t="s">
        <v>167</v>
      </c>
      <c r="C147" s="324">
        <v>16</v>
      </c>
      <c r="D147" s="260" t="s">
        <v>27</v>
      </c>
      <c r="E147" s="258">
        <v>1887</v>
      </c>
      <c r="F147" s="258">
        <f t="shared" si="61"/>
        <v>30192</v>
      </c>
      <c r="G147" s="258">
        <v>170</v>
      </c>
      <c r="H147" s="258">
        <f t="shared" si="62"/>
        <v>2720</v>
      </c>
      <c r="I147" s="258">
        <f t="shared" si="63"/>
        <v>32912</v>
      </c>
      <c r="J147" s="296"/>
    </row>
    <row r="148" spans="1:16" ht="15.4" customHeight="1">
      <c r="A148" s="244">
        <v>9.1300000000000008</v>
      </c>
      <c r="B148" s="237" t="s">
        <v>610</v>
      </c>
      <c r="C148" s="324">
        <v>16</v>
      </c>
      <c r="D148" s="260" t="s">
        <v>27</v>
      </c>
      <c r="E148" s="258">
        <v>1806.94</v>
      </c>
      <c r="F148" s="258">
        <f t="shared" si="61"/>
        <v>28911.040000000001</v>
      </c>
      <c r="G148" s="258">
        <v>637.39</v>
      </c>
      <c r="H148" s="258">
        <f t="shared" si="62"/>
        <v>10198.24</v>
      </c>
      <c r="I148" s="258">
        <f t="shared" si="63"/>
        <v>39109.279999999999</v>
      </c>
      <c r="J148" s="296"/>
    </row>
    <row r="149" spans="1:16" ht="15.4" customHeight="1">
      <c r="A149" s="138">
        <v>9.14</v>
      </c>
      <c r="B149" s="237" t="s">
        <v>611</v>
      </c>
      <c r="C149" s="324">
        <v>16</v>
      </c>
      <c r="D149" s="260" t="s">
        <v>27</v>
      </c>
      <c r="E149" s="258">
        <v>1694.01</v>
      </c>
      <c r="F149" s="258">
        <f t="shared" si="61"/>
        <v>27104.16</v>
      </c>
      <c r="G149" s="258">
        <v>597.54999999999995</v>
      </c>
      <c r="H149" s="258">
        <f t="shared" si="62"/>
        <v>9560.7999999999993</v>
      </c>
      <c r="I149" s="258">
        <f t="shared" si="63"/>
        <v>36664.959999999999</v>
      </c>
      <c r="J149" s="303"/>
    </row>
    <row r="150" spans="1:16" ht="15.4" customHeight="1">
      <c r="A150" s="138">
        <v>9.15</v>
      </c>
      <c r="B150" s="237" t="s">
        <v>612</v>
      </c>
      <c r="C150" s="324">
        <v>16</v>
      </c>
      <c r="D150" s="260" t="s">
        <v>27</v>
      </c>
      <c r="E150" s="258">
        <v>900</v>
      </c>
      <c r="F150" s="258">
        <f t="shared" si="61"/>
        <v>14400</v>
      </c>
      <c r="G150" s="258">
        <v>150</v>
      </c>
      <c r="H150" s="258">
        <f t="shared" si="62"/>
        <v>2400</v>
      </c>
      <c r="I150" s="258">
        <f t="shared" si="63"/>
        <v>16800</v>
      </c>
      <c r="J150" s="303"/>
    </row>
    <row r="151" spans="1:16" ht="15.4" customHeight="1">
      <c r="A151" s="138">
        <v>9.16</v>
      </c>
      <c r="B151" s="237" t="s">
        <v>613</v>
      </c>
      <c r="C151" s="324">
        <v>32</v>
      </c>
      <c r="D151" s="260" t="s">
        <v>27</v>
      </c>
      <c r="E151" s="258">
        <v>220</v>
      </c>
      <c r="F151" s="258">
        <f t="shared" si="61"/>
        <v>7040</v>
      </c>
      <c r="G151" s="258">
        <v>35</v>
      </c>
      <c r="H151" s="258">
        <f t="shared" si="62"/>
        <v>1120</v>
      </c>
      <c r="I151" s="258">
        <f t="shared" si="63"/>
        <v>8160</v>
      </c>
      <c r="J151" s="303"/>
    </row>
    <row r="152" spans="1:16" ht="15.4" customHeight="1">
      <c r="A152" s="252">
        <v>9.17</v>
      </c>
      <c r="B152" s="308" t="s">
        <v>614</v>
      </c>
      <c r="C152" s="332">
        <v>16</v>
      </c>
      <c r="D152" s="272" t="s">
        <v>27</v>
      </c>
      <c r="E152" s="137">
        <v>220</v>
      </c>
      <c r="F152" s="137">
        <f t="shared" si="61"/>
        <v>3520</v>
      </c>
      <c r="G152" s="137">
        <v>75</v>
      </c>
      <c r="H152" s="137">
        <f t="shared" si="62"/>
        <v>1200</v>
      </c>
      <c r="I152" s="137">
        <f t="shared" si="63"/>
        <v>4720</v>
      </c>
      <c r="J152" s="320"/>
      <c r="K152" s="136">
        <v>9</v>
      </c>
      <c r="L152" s="141">
        <f>SUM(E136:E152)</f>
        <v>14399.490000000002</v>
      </c>
      <c r="M152" s="141">
        <f t="shared" ref="M152:P152" si="64">SUM(F136:F152)</f>
        <v>233911.84000000003</v>
      </c>
      <c r="N152" s="141">
        <f t="shared" si="64"/>
        <v>3064.9399999999996</v>
      </c>
      <c r="O152" s="141">
        <f t="shared" si="64"/>
        <v>49599.039999999994</v>
      </c>
      <c r="P152" s="141">
        <f t="shared" si="64"/>
        <v>283510.88</v>
      </c>
    </row>
    <row r="153" spans="1:16" ht="15.4" customHeight="1">
      <c r="A153" s="274"/>
      <c r="B153" s="275" t="s">
        <v>21</v>
      </c>
      <c r="C153" s="276"/>
      <c r="D153" s="277"/>
      <c r="E153" s="278"/>
      <c r="F153" s="279">
        <f>SUM(F124:F152)</f>
        <v>6506959.8099999987</v>
      </c>
      <c r="G153" s="279"/>
      <c r="H153" s="279">
        <f>SUM(H124:H152)</f>
        <v>2238879.6913999999</v>
      </c>
      <c r="I153" s="279">
        <f>SUM(I124:I152)</f>
        <v>8745839.5013999995</v>
      </c>
      <c r="J153" s="280"/>
    </row>
    <row r="154" spans="1:16" ht="16" customHeight="1">
      <c r="A154" s="281"/>
      <c r="B154" s="282" t="s">
        <v>22</v>
      </c>
      <c r="C154" s="283"/>
      <c r="D154" s="284"/>
      <c r="E154" s="285"/>
      <c r="F154" s="286">
        <f>F153</f>
        <v>6506959.8099999987</v>
      </c>
      <c r="G154" s="286"/>
      <c r="H154" s="286">
        <f>H153</f>
        <v>2238879.6913999999</v>
      </c>
      <c r="I154" s="286">
        <f>I153</f>
        <v>8745839.5013999995</v>
      </c>
      <c r="J154" s="287"/>
    </row>
    <row r="155" spans="1:16" ht="16" customHeight="1">
      <c r="A155" s="288">
        <v>10</v>
      </c>
      <c r="B155" s="289" t="s">
        <v>107</v>
      </c>
      <c r="C155" s="333"/>
      <c r="D155" s="291"/>
      <c r="E155" s="292"/>
      <c r="F155" s="292"/>
      <c r="G155" s="292"/>
      <c r="H155" s="292"/>
      <c r="I155" s="292"/>
      <c r="J155" s="334"/>
    </row>
    <row r="156" spans="1:16" ht="16" customHeight="1">
      <c r="A156" s="138">
        <v>10.1</v>
      </c>
      <c r="B156" s="212" t="s">
        <v>526</v>
      </c>
      <c r="C156" s="335">
        <v>16</v>
      </c>
      <c r="D156" s="260" t="s">
        <v>27</v>
      </c>
      <c r="E156" s="258">
        <v>2046.73</v>
      </c>
      <c r="F156" s="258">
        <f t="shared" ref="F156" si="65">E156*C156</f>
        <v>32747.68</v>
      </c>
      <c r="G156" s="258">
        <v>320</v>
      </c>
      <c r="H156" s="258">
        <f t="shared" ref="H156" si="66">C156*G156</f>
        <v>5120</v>
      </c>
      <c r="I156" s="258">
        <f t="shared" ref="I156" si="67">H156+F156</f>
        <v>37867.68</v>
      </c>
      <c r="J156" s="306"/>
    </row>
    <row r="157" spans="1:16" ht="16" customHeight="1">
      <c r="A157" s="138">
        <v>10.199999999999999</v>
      </c>
      <c r="B157" s="139" t="s">
        <v>527</v>
      </c>
      <c r="C157" s="140">
        <v>52</v>
      </c>
      <c r="D157" s="260" t="s">
        <v>93</v>
      </c>
      <c r="E157" s="258">
        <v>1215</v>
      </c>
      <c r="F157" s="258">
        <f t="shared" ref="F157:F180" si="68">E157*C157</f>
        <v>63180</v>
      </c>
      <c r="G157" s="258">
        <v>520</v>
      </c>
      <c r="H157" s="258">
        <f t="shared" ref="H157:H180" si="69">C157*G157</f>
        <v>27040</v>
      </c>
      <c r="I157" s="258">
        <f t="shared" ref="I157:I180" si="70">H157+F157</f>
        <v>90220</v>
      </c>
      <c r="J157" s="306"/>
    </row>
    <row r="158" spans="1:16" ht="16" customHeight="1">
      <c r="A158" s="336">
        <v>10.3</v>
      </c>
      <c r="B158" s="139" t="s">
        <v>161</v>
      </c>
      <c r="C158" s="331">
        <v>1</v>
      </c>
      <c r="D158" s="260" t="s">
        <v>27</v>
      </c>
      <c r="E158" s="258">
        <v>1200</v>
      </c>
      <c r="F158" s="258">
        <f t="shared" si="68"/>
        <v>1200</v>
      </c>
      <c r="G158" s="258">
        <v>250</v>
      </c>
      <c r="H158" s="258">
        <f t="shared" si="69"/>
        <v>250</v>
      </c>
      <c r="I158" s="258">
        <f t="shared" si="70"/>
        <v>1450</v>
      </c>
      <c r="J158" s="337"/>
    </row>
    <row r="159" spans="1:16" ht="16" customHeight="1">
      <c r="A159" s="138">
        <v>10.4</v>
      </c>
      <c r="B159" s="139" t="s">
        <v>615</v>
      </c>
      <c r="C159" s="331">
        <v>1</v>
      </c>
      <c r="D159" s="260" t="s">
        <v>27</v>
      </c>
      <c r="E159" s="258">
        <v>1385.51</v>
      </c>
      <c r="F159" s="258">
        <f t="shared" si="68"/>
        <v>1385.51</v>
      </c>
      <c r="G159" s="258">
        <v>373.63</v>
      </c>
      <c r="H159" s="258">
        <f t="shared" si="69"/>
        <v>373.63</v>
      </c>
      <c r="I159" s="258">
        <f t="shared" si="70"/>
        <v>1759.1399999999999</v>
      </c>
      <c r="J159" s="296"/>
    </row>
    <row r="160" spans="1:16" ht="16" customHeight="1">
      <c r="A160" s="138">
        <v>10.5</v>
      </c>
      <c r="B160" s="338" t="s">
        <v>616</v>
      </c>
      <c r="C160" s="295">
        <v>8</v>
      </c>
      <c r="D160" s="339" t="s">
        <v>93</v>
      </c>
      <c r="E160" s="258">
        <v>595.20000000000005</v>
      </c>
      <c r="F160" s="258">
        <f t="shared" si="68"/>
        <v>4761.6000000000004</v>
      </c>
      <c r="G160" s="258">
        <v>186.32</v>
      </c>
      <c r="H160" s="258">
        <f t="shared" si="69"/>
        <v>1490.56</v>
      </c>
      <c r="I160" s="258">
        <f t="shared" si="70"/>
        <v>6252.16</v>
      </c>
      <c r="J160" s="296"/>
    </row>
    <row r="161" spans="1:11" ht="16" customHeight="1">
      <c r="A161" s="336">
        <v>10.6</v>
      </c>
      <c r="B161" s="338" t="s">
        <v>617</v>
      </c>
      <c r="C161" s="140">
        <v>180</v>
      </c>
      <c r="D161" s="339" t="s">
        <v>93</v>
      </c>
      <c r="E161" s="258">
        <v>136.16</v>
      </c>
      <c r="F161" s="258">
        <f t="shared" si="68"/>
        <v>24508.799999999999</v>
      </c>
      <c r="G161" s="258">
        <v>42.62</v>
      </c>
      <c r="H161" s="258">
        <f t="shared" si="69"/>
        <v>7671.5999999999995</v>
      </c>
      <c r="I161" s="258">
        <f t="shared" si="70"/>
        <v>32180.399999999998</v>
      </c>
      <c r="J161" s="337"/>
    </row>
    <row r="162" spans="1:11" s="342" customFormat="1" ht="16" customHeight="1">
      <c r="A162" s="138">
        <v>10.7</v>
      </c>
      <c r="B162" s="139" t="s">
        <v>528</v>
      </c>
      <c r="C162" s="140">
        <v>156</v>
      </c>
      <c r="D162" s="260" t="s">
        <v>24</v>
      </c>
      <c r="E162" s="258">
        <v>724.52</v>
      </c>
      <c r="F162" s="258">
        <f t="shared" si="68"/>
        <v>113025.12</v>
      </c>
      <c r="G162" s="258">
        <v>121.29</v>
      </c>
      <c r="H162" s="258">
        <f t="shared" si="69"/>
        <v>18921.240000000002</v>
      </c>
      <c r="I162" s="258">
        <f t="shared" si="70"/>
        <v>131946.35999999999</v>
      </c>
      <c r="J162" s="340"/>
      <c r="K162" s="341"/>
    </row>
    <row r="163" spans="1:11" ht="16" customHeight="1">
      <c r="A163" s="138"/>
      <c r="B163" s="134" t="s">
        <v>618</v>
      </c>
      <c r="C163" s="260"/>
      <c r="D163" s="260"/>
      <c r="E163" s="258"/>
      <c r="F163" s="258"/>
      <c r="G163" s="258"/>
      <c r="H163" s="258"/>
      <c r="I163" s="258"/>
      <c r="J163" s="343"/>
    </row>
    <row r="164" spans="1:11" ht="16" customHeight="1">
      <c r="A164" s="344"/>
      <c r="B164" s="345" t="s">
        <v>678</v>
      </c>
      <c r="C164" s="346"/>
      <c r="D164" s="339"/>
      <c r="E164" s="258"/>
      <c r="F164" s="258"/>
      <c r="G164" s="258"/>
      <c r="H164" s="258"/>
      <c r="I164" s="258"/>
      <c r="J164" s="337"/>
    </row>
    <row r="165" spans="1:11" ht="15" customHeight="1">
      <c r="A165" s="336">
        <v>10.8</v>
      </c>
      <c r="B165" s="139" t="s">
        <v>146</v>
      </c>
      <c r="C165" s="140">
        <f>3.65*2.1*3</f>
        <v>22.995000000000001</v>
      </c>
      <c r="D165" s="260" t="s">
        <v>24</v>
      </c>
      <c r="E165" s="258">
        <v>630</v>
      </c>
      <c r="F165" s="258">
        <f t="shared" si="68"/>
        <v>14486.85</v>
      </c>
      <c r="G165" s="258">
        <v>192</v>
      </c>
      <c r="H165" s="258">
        <f t="shared" si="69"/>
        <v>4415.04</v>
      </c>
      <c r="I165" s="258">
        <f t="shared" si="70"/>
        <v>18901.89</v>
      </c>
      <c r="J165" s="337"/>
    </row>
    <row r="166" spans="1:11" ht="16" customHeight="1">
      <c r="A166" s="336">
        <v>10.9</v>
      </c>
      <c r="B166" s="139" t="s">
        <v>145</v>
      </c>
      <c r="C166" s="140">
        <f>1.8*8*6</f>
        <v>86.4</v>
      </c>
      <c r="D166" s="339" t="s">
        <v>93</v>
      </c>
      <c r="E166" s="258">
        <v>209.23</v>
      </c>
      <c r="F166" s="258">
        <f t="shared" si="68"/>
        <v>18077.472000000002</v>
      </c>
      <c r="G166" s="258">
        <v>220</v>
      </c>
      <c r="H166" s="258">
        <f t="shared" si="69"/>
        <v>19008</v>
      </c>
      <c r="I166" s="258">
        <f t="shared" si="70"/>
        <v>37085.472000000002</v>
      </c>
      <c r="J166" s="337"/>
    </row>
    <row r="167" spans="1:11" ht="16" customHeight="1">
      <c r="A167" s="344">
        <v>10.1</v>
      </c>
      <c r="B167" s="238" t="s">
        <v>592</v>
      </c>
      <c r="C167" s="140">
        <f>1.8*9*6</f>
        <v>97.199999999999989</v>
      </c>
      <c r="D167" s="339" t="s">
        <v>93</v>
      </c>
      <c r="E167" s="258">
        <v>104</v>
      </c>
      <c r="F167" s="258">
        <f t="shared" si="68"/>
        <v>10108.799999999999</v>
      </c>
      <c r="G167" s="258">
        <v>40</v>
      </c>
      <c r="H167" s="258">
        <f t="shared" si="69"/>
        <v>3887.9999999999995</v>
      </c>
      <c r="I167" s="258">
        <f t="shared" si="70"/>
        <v>13996.8</v>
      </c>
      <c r="J167" s="337"/>
    </row>
    <row r="168" spans="1:11" ht="16" customHeight="1">
      <c r="A168" s="336">
        <v>10.11</v>
      </c>
      <c r="B168" s="139" t="s">
        <v>619</v>
      </c>
      <c r="C168" s="140">
        <v>22</v>
      </c>
      <c r="D168" s="260" t="s">
        <v>93</v>
      </c>
      <c r="E168" s="258">
        <v>595.20000000000005</v>
      </c>
      <c r="F168" s="258">
        <f t="shared" si="68"/>
        <v>13094.400000000001</v>
      </c>
      <c r="G168" s="258">
        <v>190</v>
      </c>
      <c r="H168" s="258">
        <f t="shared" si="69"/>
        <v>4180</v>
      </c>
      <c r="I168" s="258">
        <f t="shared" si="70"/>
        <v>17274.400000000001</v>
      </c>
      <c r="J168" s="337"/>
    </row>
    <row r="169" spans="1:11" ht="16" customHeight="1">
      <c r="A169" s="336"/>
      <c r="B169" s="345" t="s">
        <v>529</v>
      </c>
      <c r="C169" s="346"/>
      <c r="D169" s="339"/>
      <c r="E169" s="258"/>
      <c r="F169" s="258"/>
      <c r="G169" s="258"/>
      <c r="H169" s="258"/>
      <c r="I169" s="258"/>
      <c r="J169" s="337"/>
    </row>
    <row r="170" spans="1:11" ht="16" customHeight="1">
      <c r="A170" s="336">
        <v>10.119999999999999</v>
      </c>
      <c r="B170" s="139" t="s">
        <v>145</v>
      </c>
      <c r="C170" s="140">
        <f>(3*2*2)+(3.65*2)</f>
        <v>19.3</v>
      </c>
      <c r="D170" s="339" t="s">
        <v>93</v>
      </c>
      <c r="E170" s="258">
        <v>209.23</v>
      </c>
      <c r="F170" s="258">
        <f t="shared" si="68"/>
        <v>4038.1390000000001</v>
      </c>
      <c r="G170" s="258">
        <v>220</v>
      </c>
      <c r="H170" s="258">
        <f t="shared" si="69"/>
        <v>4246</v>
      </c>
      <c r="I170" s="258">
        <f t="shared" si="70"/>
        <v>8284.1389999999992</v>
      </c>
      <c r="J170" s="337"/>
    </row>
    <row r="171" spans="1:11" ht="16" customHeight="1">
      <c r="A171" s="336">
        <v>10.130000000000001</v>
      </c>
      <c r="B171" s="238" t="s">
        <v>592</v>
      </c>
      <c r="C171" s="140">
        <f>(3*3*2)+(3.65*3)</f>
        <v>28.95</v>
      </c>
      <c r="D171" s="339" t="s">
        <v>93</v>
      </c>
      <c r="E171" s="258">
        <v>104</v>
      </c>
      <c r="F171" s="258">
        <f t="shared" si="68"/>
        <v>3010.7999999999997</v>
      </c>
      <c r="G171" s="258">
        <v>40</v>
      </c>
      <c r="H171" s="258">
        <f t="shared" si="69"/>
        <v>1158</v>
      </c>
      <c r="I171" s="258">
        <f t="shared" si="70"/>
        <v>4168.7999999999993</v>
      </c>
      <c r="J171" s="337"/>
    </row>
    <row r="172" spans="1:11" ht="16" customHeight="1">
      <c r="A172" s="138"/>
      <c r="B172" s="139" t="s">
        <v>168</v>
      </c>
      <c r="C172" s="347"/>
      <c r="D172" s="339"/>
      <c r="E172" s="258"/>
      <c r="F172" s="258"/>
      <c r="G172" s="258"/>
      <c r="H172" s="258"/>
      <c r="I172" s="258"/>
      <c r="J172" s="348"/>
    </row>
    <row r="173" spans="1:11" ht="16" customHeight="1">
      <c r="A173" s="138">
        <v>10.14</v>
      </c>
      <c r="B173" s="139" t="s">
        <v>0</v>
      </c>
      <c r="C173" s="140">
        <v>15.94</v>
      </c>
      <c r="D173" s="260" t="s">
        <v>590</v>
      </c>
      <c r="E173" s="258"/>
      <c r="F173" s="258"/>
      <c r="G173" s="258">
        <v>142</v>
      </c>
      <c r="H173" s="258">
        <f t="shared" si="69"/>
        <v>2263.48</v>
      </c>
      <c r="I173" s="258">
        <f t="shared" si="70"/>
        <v>2263.48</v>
      </c>
      <c r="J173" s="348"/>
    </row>
    <row r="174" spans="1:11" ht="16" customHeight="1">
      <c r="A174" s="138">
        <v>10.15</v>
      </c>
      <c r="B174" s="139" t="s">
        <v>620</v>
      </c>
      <c r="C174" s="265">
        <v>14</v>
      </c>
      <c r="D174" s="260" t="s">
        <v>162</v>
      </c>
      <c r="E174" s="258">
        <v>1000</v>
      </c>
      <c r="F174" s="258">
        <f t="shared" si="68"/>
        <v>14000</v>
      </c>
      <c r="G174" s="258">
        <v>252</v>
      </c>
      <c r="H174" s="258">
        <f t="shared" si="69"/>
        <v>3528</v>
      </c>
      <c r="I174" s="258">
        <f t="shared" si="70"/>
        <v>17528</v>
      </c>
      <c r="J174" s="238"/>
    </row>
    <row r="175" spans="1:11" ht="16" customHeight="1">
      <c r="A175" s="138">
        <v>10.16</v>
      </c>
      <c r="B175" s="139" t="s">
        <v>621</v>
      </c>
      <c r="C175" s="140">
        <v>77</v>
      </c>
      <c r="D175" s="260" t="s">
        <v>93</v>
      </c>
      <c r="E175" s="258">
        <v>397</v>
      </c>
      <c r="F175" s="258">
        <f t="shared" si="68"/>
        <v>30569</v>
      </c>
      <c r="G175" s="258">
        <v>50</v>
      </c>
      <c r="H175" s="258">
        <f t="shared" si="69"/>
        <v>3850</v>
      </c>
      <c r="I175" s="258">
        <f t="shared" si="70"/>
        <v>34419</v>
      </c>
      <c r="J175" s="299"/>
    </row>
    <row r="176" spans="1:11" ht="16" customHeight="1">
      <c r="A176" s="138"/>
      <c r="B176" s="349" t="s">
        <v>203</v>
      </c>
      <c r="C176" s="331"/>
      <c r="D176" s="260"/>
      <c r="E176" s="258"/>
      <c r="F176" s="258"/>
      <c r="G176" s="258"/>
      <c r="H176" s="258"/>
      <c r="I176" s="258"/>
      <c r="J176" s="296"/>
    </row>
    <row r="177" spans="1:18" ht="16" customHeight="1">
      <c r="A177" s="336">
        <v>10.17</v>
      </c>
      <c r="B177" s="330" t="s">
        <v>0</v>
      </c>
      <c r="C177" s="140">
        <v>3.56</v>
      </c>
      <c r="D177" s="260" t="s">
        <v>17</v>
      </c>
      <c r="E177" s="258"/>
      <c r="F177" s="258"/>
      <c r="G177" s="258">
        <v>142</v>
      </c>
      <c r="H177" s="258">
        <f t="shared" si="69"/>
        <v>505.52</v>
      </c>
      <c r="I177" s="258">
        <f t="shared" si="70"/>
        <v>505.52</v>
      </c>
      <c r="J177" s="337"/>
    </row>
    <row r="178" spans="1:18" ht="16" customHeight="1">
      <c r="A178" s="336">
        <v>10.18</v>
      </c>
      <c r="B178" s="330" t="s">
        <v>530</v>
      </c>
      <c r="C178" s="265">
        <v>9</v>
      </c>
      <c r="D178" s="339" t="s">
        <v>88</v>
      </c>
      <c r="E178" s="258">
        <v>383</v>
      </c>
      <c r="F178" s="258">
        <f t="shared" si="68"/>
        <v>3447</v>
      </c>
      <c r="G178" s="258">
        <v>128</v>
      </c>
      <c r="H178" s="258">
        <f t="shared" si="69"/>
        <v>1152</v>
      </c>
      <c r="I178" s="258">
        <f t="shared" si="70"/>
        <v>4599</v>
      </c>
      <c r="J178" s="337"/>
    </row>
    <row r="179" spans="1:18" ht="16" customHeight="1">
      <c r="A179" s="336">
        <v>10.19</v>
      </c>
      <c r="B179" s="330" t="s">
        <v>622</v>
      </c>
      <c r="C179" s="140">
        <f>0.1*2.5*2.5</f>
        <v>0.625</v>
      </c>
      <c r="D179" s="260" t="s">
        <v>590</v>
      </c>
      <c r="E179" s="258">
        <v>2032.72</v>
      </c>
      <c r="F179" s="258">
        <f>E179*C179</f>
        <v>1270.45</v>
      </c>
      <c r="G179" s="258">
        <v>519</v>
      </c>
      <c r="H179" s="258">
        <f t="shared" si="69"/>
        <v>324.375</v>
      </c>
      <c r="I179" s="258">
        <f t="shared" si="70"/>
        <v>1594.825</v>
      </c>
      <c r="J179" s="264"/>
    </row>
    <row r="180" spans="1:18" ht="15.4" customHeight="1">
      <c r="A180" s="344">
        <v>10.199999999999999</v>
      </c>
      <c r="B180" s="330" t="s">
        <v>623</v>
      </c>
      <c r="C180" s="140">
        <f>11*2.5*2*0.888*1.09</f>
        <v>53.235600000000005</v>
      </c>
      <c r="D180" s="260" t="s">
        <v>624</v>
      </c>
      <c r="E180" s="258">
        <v>19.84</v>
      </c>
      <c r="F180" s="258">
        <f t="shared" si="68"/>
        <v>1056.1943040000001</v>
      </c>
      <c r="G180" s="258">
        <v>3.6</v>
      </c>
      <c r="H180" s="258">
        <f t="shared" si="69"/>
        <v>191.64816000000002</v>
      </c>
      <c r="I180" s="258">
        <f t="shared" si="70"/>
        <v>1247.8424640000001</v>
      </c>
      <c r="J180" s="337"/>
    </row>
    <row r="181" spans="1:18" ht="16" customHeight="1">
      <c r="A181" s="252"/>
      <c r="B181" s="350"/>
      <c r="C181" s="351"/>
      <c r="D181" s="272"/>
      <c r="E181" s="326"/>
      <c r="F181" s="326"/>
      <c r="G181" s="326"/>
      <c r="H181" s="326"/>
      <c r="I181" s="326"/>
      <c r="J181" s="309"/>
      <c r="R181" s="352"/>
    </row>
    <row r="182" spans="1:18" ht="16" customHeight="1">
      <c r="A182" s="274"/>
      <c r="B182" s="353" t="s">
        <v>21</v>
      </c>
      <c r="C182" s="276"/>
      <c r="D182" s="277"/>
      <c r="E182" s="278"/>
      <c r="F182" s="279">
        <f>SUM(F154:F181)</f>
        <v>6860927.6253039977</v>
      </c>
      <c r="G182" s="279"/>
      <c r="H182" s="279">
        <f>SUM(H154:H181)</f>
        <v>2348456.7845600001</v>
      </c>
      <c r="I182" s="279">
        <f>SUM(I154:I181)</f>
        <v>9209384.409864001</v>
      </c>
      <c r="J182" s="354"/>
      <c r="R182" s="352"/>
    </row>
    <row r="183" spans="1:18" ht="16" customHeight="1">
      <c r="A183" s="281"/>
      <c r="B183" s="282" t="s">
        <v>22</v>
      </c>
      <c r="C183" s="312"/>
      <c r="D183" s="313"/>
      <c r="E183" s="355"/>
      <c r="F183" s="315">
        <f>F182</f>
        <v>6860927.6253039977</v>
      </c>
      <c r="G183" s="315"/>
      <c r="H183" s="315">
        <f>H182</f>
        <v>2348456.7845600001</v>
      </c>
      <c r="I183" s="315">
        <f>I182</f>
        <v>9209384.409864001</v>
      </c>
      <c r="J183" s="316"/>
    </row>
    <row r="184" spans="1:18" ht="16" customHeight="1">
      <c r="A184" s="256"/>
      <c r="B184" s="356" t="s">
        <v>625</v>
      </c>
      <c r="C184" s="333"/>
      <c r="D184" s="291"/>
      <c r="E184" s="258"/>
      <c r="F184" s="258"/>
      <c r="G184" s="258"/>
      <c r="H184" s="258"/>
      <c r="I184" s="258"/>
      <c r="J184" s="319"/>
    </row>
    <row r="185" spans="1:18" ht="16" customHeight="1">
      <c r="A185" s="357">
        <v>10.210000000000001</v>
      </c>
      <c r="B185" s="358" t="s">
        <v>0</v>
      </c>
      <c r="C185" s="258">
        <f>2.2*2.2*2.24*1.3</f>
        <v>14.094080000000005</v>
      </c>
      <c r="D185" s="318" t="s">
        <v>590</v>
      </c>
      <c r="E185" s="258"/>
      <c r="F185" s="258"/>
      <c r="G185" s="258">
        <v>142</v>
      </c>
      <c r="H185" s="258">
        <f t="shared" ref="H185:H188" si="71">C185*G185</f>
        <v>2001.3593600000008</v>
      </c>
      <c r="I185" s="258">
        <f t="shared" ref="I185:I188" si="72">H185+F185</f>
        <v>2001.3593600000008</v>
      </c>
      <c r="J185" s="359"/>
    </row>
    <row r="186" spans="1:18" ht="16" customHeight="1">
      <c r="A186" s="336">
        <v>10.220000000000001</v>
      </c>
      <c r="B186" s="330" t="s">
        <v>626</v>
      </c>
      <c r="C186" s="265">
        <v>7</v>
      </c>
      <c r="D186" s="339" t="s">
        <v>88</v>
      </c>
      <c r="E186" s="258">
        <v>383</v>
      </c>
      <c r="F186" s="258">
        <f t="shared" ref="F186:F188" si="73">E186*C186</f>
        <v>2681</v>
      </c>
      <c r="G186" s="258">
        <v>142</v>
      </c>
      <c r="H186" s="258">
        <f t="shared" si="71"/>
        <v>994</v>
      </c>
      <c r="I186" s="258">
        <f t="shared" si="72"/>
        <v>3675</v>
      </c>
      <c r="J186" s="337"/>
    </row>
    <row r="187" spans="1:18" ht="16" customHeight="1">
      <c r="A187" s="336">
        <v>10.23</v>
      </c>
      <c r="B187" s="330" t="s">
        <v>627</v>
      </c>
      <c r="C187" s="140">
        <f>2.2*2.2*0.1</f>
        <v>0.4840000000000001</v>
      </c>
      <c r="D187" s="260" t="s">
        <v>590</v>
      </c>
      <c r="E187" s="258">
        <v>2032.72</v>
      </c>
      <c r="F187" s="258">
        <f>E187*C187</f>
        <v>983.83648000000017</v>
      </c>
      <c r="G187" s="258">
        <v>519</v>
      </c>
      <c r="H187" s="258">
        <f t="shared" si="71"/>
        <v>251.19600000000005</v>
      </c>
      <c r="I187" s="258">
        <f t="shared" si="72"/>
        <v>1235.0324800000003</v>
      </c>
      <c r="J187" s="264"/>
    </row>
    <row r="188" spans="1:18" ht="16" customHeight="1">
      <c r="A188" s="336">
        <v>10.24</v>
      </c>
      <c r="B188" s="330" t="s">
        <v>628</v>
      </c>
      <c r="C188" s="140">
        <f>16*2.2*2*0.499*1.07</f>
        <v>37.588672000000003</v>
      </c>
      <c r="D188" s="260" t="s">
        <v>624</v>
      </c>
      <c r="E188" s="258">
        <v>20.13</v>
      </c>
      <c r="F188" s="258">
        <f t="shared" si="73"/>
        <v>756.65996736</v>
      </c>
      <c r="G188" s="258">
        <v>4.4000000000000004</v>
      </c>
      <c r="H188" s="258">
        <f t="shared" si="71"/>
        <v>165.39015680000003</v>
      </c>
      <c r="I188" s="258">
        <f t="shared" si="72"/>
        <v>922.05012416</v>
      </c>
      <c r="J188" s="337"/>
      <c r="K188" s="136">
        <v>10</v>
      </c>
      <c r="L188" s="141">
        <f>SUM(E156:E162,E165:E168,E170:E171,E173:E175,E177:E180,E185:E188)</f>
        <v>15423.189999999997</v>
      </c>
      <c r="M188" s="141">
        <f>SUM(F156:F162,F165:F168,F170:F171,F173:F175,F177:F180,F185:F188)</f>
        <v>358389.31175136007</v>
      </c>
      <c r="N188" s="141">
        <f>SUM(G156:G162,G165:G168,G170:G171,G173:G175,G177:G180,G185:G188)</f>
        <v>4759.8599999999988</v>
      </c>
      <c r="O188" s="141">
        <f>SUM(H156:H162,H165:H168,H170:H171,H173:H175,H177:H180,H185:H188)</f>
        <v>112989.0386768</v>
      </c>
      <c r="P188" s="141">
        <f>SUM(I156:I162,I165:I168,I170:I171,I173:I175,I177:I180,I185:I188)</f>
        <v>471378.35042816005</v>
      </c>
    </row>
    <row r="189" spans="1:18" ht="16" customHeight="1">
      <c r="A189" s="360"/>
      <c r="B189" s="361"/>
      <c r="C189" s="362"/>
      <c r="D189" s="363"/>
      <c r="E189" s="137"/>
      <c r="F189" s="137"/>
      <c r="G189" s="364"/>
      <c r="H189" s="137"/>
      <c r="I189" s="137"/>
      <c r="J189" s="365"/>
    </row>
    <row r="190" spans="1:18" ht="16" customHeight="1">
      <c r="A190" s="267">
        <v>11</v>
      </c>
      <c r="B190" s="366" t="s">
        <v>108</v>
      </c>
      <c r="C190" s="323"/>
      <c r="D190" s="294"/>
      <c r="E190" s="304"/>
      <c r="F190" s="304"/>
      <c r="G190" s="304"/>
      <c r="H190" s="304"/>
      <c r="I190" s="304"/>
      <c r="J190" s="302"/>
    </row>
    <row r="191" spans="1:18" ht="16" customHeight="1">
      <c r="A191" s="138"/>
      <c r="B191" s="367" t="s">
        <v>629</v>
      </c>
      <c r="C191" s="260"/>
      <c r="D191" s="260"/>
      <c r="E191" s="258"/>
      <c r="F191" s="258"/>
      <c r="G191" s="258"/>
      <c r="H191" s="258"/>
      <c r="I191" s="258"/>
      <c r="J191" s="296"/>
    </row>
    <row r="192" spans="1:18" ht="16" customHeight="1">
      <c r="A192" s="138">
        <v>11.1</v>
      </c>
      <c r="B192" s="139" t="s">
        <v>133</v>
      </c>
      <c r="C192" s="140">
        <v>96</v>
      </c>
      <c r="D192" s="260" t="s">
        <v>93</v>
      </c>
      <c r="E192" s="258">
        <v>9</v>
      </c>
      <c r="F192" s="258">
        <f t="shared" ref="F192:F200" si="74">E192*C192</f>
        <v>864</v>
      </c>
      <c r="G192" s="258">
        <v>30</v>
      </c>
      <c r="H192" s="258">
        <f t="shared" ref="H192:H200" si="75">C192*G192</f>
        <v>2880</v>
      </c>
      <c r="I192" s="258">
        <f t="shared" ref="I192:I200" si="76">H192+F192</f>
        <v>3744</v>
      </c>
      <c r="J192" s="261"/>
      <c r="L192" s="134">
        <v>37.380000000000003</v>
      </c>
    </row>
    <row r="193" spans="1:16" ht="16" customHeight="1">
      <c r="A193" s="138">
        <v>11.2</v>
      </c>
      <c r="B193" s="139" t="s">
        <v>134</v>
      </c>
      <c r="C193" s="140">
        <v>136</v>
      </c>
      <c r="D193" s="260" t="s">
        <v>93</v>
      </c>
      <c r="E193" s="258">
        <v>11.5</v>
      </c>
      <c r="F193" s="258">
        <f t="shared" si="74"/>
        <v>1564</v>
      </c>
      <c r="G193" s="258">
        <v>30</v>
      </c>
      <c r="H193" s="258">
        <f t="shared" si="75"/>
        <v>4080</v>
      </c>
      <c r="I193" s="258">
        <f t="shared" si="76"/>
        <v>5644</v>
      </c>
      <c r="J193" s="261"/>
      <c r="L193" s="134">
        <v>46.73</v>
      </c>
    </row>
    <row r="194" spans="1:16" ht="16" customHeight="1">
      <c r="A194" s="138">
        <v>11.3</v>
      </c>
      <c r="B194" s="139" t="s">
        <v>164</v>
      </c>
      <c r="C194" s="140">
        <v>108</v>
      </c>
      <c r="D194" s="260" t="s">
        <v>93</v>
      </c>
      <c r="E194" s="258">
        <v>15</v>
      </c>
      <c r="F194" s="258">
        <f t="shared" si="74"/>
        <v>1620</v>
      </c>
      <c r="G194" s="258">
        <v>30</v>
      </c>
      <c r="H194" s="258">
        <f t="shared" si="75"/>
        <v>3240</v>
      </c>
      <c r="I194" s="258">
        <f t="shared" si="76"/>
        <v>4860</v>
      </c>
      <c r="J194" s="261"/>
      <c r="L194" s="134">
        <v>61.68</v>
      </c>
    </row>
    <row r="195" spans="1:16" ht="16" customHeight="1">
      <c r="A195" s="138">
        <v>11.4</v>
      </c>
      <c r="B195" s="139" t="s">
        <v>137</v>
      </c>
      <c r="C195" s="140">
        <v>212</v>
      </c>
      <c r="D195" s="260" t="s">
        <v>25</v>
      </c>
      <c r="E195" s="258">
        <v>38.75</v>
      </c>
      <c r="F195" s="258">
        <f t="shared" si="74"/>
        <v>8215</v>
      </c>
      <c r="G195" s="258">
        <v>40</v>
      </c>
      <c r="H195" s="258">
        <f t="shared" si="75"/>
        <v>8480</v>
      </c>
      <c r="I195" s="258">
        <f t="shared" si="76"/>
        <v>16695</v>
      </c>
      <c r="J195" s="261"/>
      <c r="L195" s="134">
        <v>157.01</v>
      </c>
    </row>
    <row r="196" spans="1:16" ht="16" customHeight="1">
      <c r="A196" s="138">
        <v>11.5</v>
      </c>
      <c r="B196" s="139" t="s">
        <v>136</v>
      </c>
      <c r="C196" s="140">
        <v>30</v>
      </c>
      <c r="D196" s="260" t="s">
        <v>25</v>
      </c>
      <c r="E196" s="258">
        <v>85</v>
      </c>
      <c r="F196" s="258">
        <f t="shared" si="74"/>
        <v>2550</v>
      </c>
      <c r="G196" s="258">
        <v>75</v>
      </c>
      <c r="H196" s="258">
        <f t="shared" si="75"/>
        <v>2250</v>
      </c>
      <c r="I196" s="258">
        <f t="shared" si="76"/>
        <v>4800</v>
      </c>
      <c r="J196" s="261"/>
      <c r="L196" s="134">
        <v>343.93</v>
      </c>
    </row>
    <row r="197" spans="1:16" ht="16" customHeight="1">
      <c r="A197" s="138">
        <v>11.6</v>
      </c>
      <c r="B197" s="139" t="s">
        <v>135</v>
      </c>
      <c r="C197" s="140">
        <v>48</v>
      </c>
      <c r="D197" s="260" t="s">
        <v>25</v>
      </c>
      <c r="E197" s="258">
        <v>136.75</v>
      </c>
      <c r="F197" s="258">
        <f t="shared" si="74"/>
        <v>6564</v>
      </c>
      <c r="G197" s="258">
        <v>120</v>
      </c>
      <c r="H197" s="258">
        <f t="shared" si="75"/>
        <v>5760</v>
      </c>
      <c r="I197" s="258">
        <f t="shared" si="76"/>
        <v>12324</v>
      </c>
      <c r="J197" s="261"/>
      <c r="L197" s="134">
        <v>508.41</v>
      </c>
    </row>
    <row r="198" spans="1:16" ht="16" customHeight="1">
      <c r="A198" s="138">
        <v>11.7</v>
      </c>
      <c r="B198" s="139" t="s">
        <v>169</v>
      </c>
      <c r="C198" s="324">
        <v>16</v>
      </c>
      <c r="D198" s="260" t="s">
        <v>27</v>
      </c>
      <c r="E198" s="258">
        <v>1136</v>
      </c>
      <c r="F198" s="258">
        <f t="shared" si="74"/>
        <v>18176</v>
      </c>
      <c r="G198" s="258">
        <v>100</v>
      </c>
      <c r="H198" s="258">
        <f t="shared" si="75"/>
        <v>1600</v>
      </c>
      <c r="I198" s="258">
        <f t="shared" si="76"/>
        <v>19776</v>
      </c>
      <c r="J198" s="306"/>
    </row>
    <row r="199" spans="1:16" ht="16" customHeight="1">
      <c r="A199" s="138">
        <v>11.8</v>
      </c>
      <c r="B199" s="238" t="s">
        <v>180</v>
      </c>
      <c r="C199" s="324">
        <v>1</v>
      </c>
      <c r="D199" s="260" t="s">
        <v>179</v>
      </c>
      <c r="E199" s="258">
        <v>14148.61</v>
      </c>
      <c r="F199" s="258">
        <f t="shared" si="74"/>
        <v>14148.61</v>
      </c>
      <c r="G199" s="258">
        <v>4244.58</v>
      </c>
      <c r="H199" s="258">
        <f t="shared" si="75"/>
        <v>4244.58</v>
      </c>
      <c r="I199" s="258">
        <f t="shared" si="76"/>
        <v>18393.190000000002</v>
      </c>
      <c r="J199" s="296"/>
    </row>
    <row r="200" spans="1:16" ht="16" customHeight="1">
      <c r="A200" s="138">
        <v>11.9</v>
      </c>
      <c r="B200" s="238" t="s">
        <v>181</v>
      </c>
      <c r="C200" s="324">
        <v>1</v>
      </c>
      <c r="D200" s="260" t="s">
        <v>179</v>
      </c>
      <c r="E200" s="258">
        <v>10611.46</v>
      </c>
      <c r="F200" s="258">
        <f t="shared" si="74"/>
        <v>10611.46</v>
      </c>
      <c r="G200" s="258">
        <v>3183.44</v>
      </c>
      <c r="H200" s="258">
        <f t="shared" si="75"/>
        <v>3183.44</v>
      </c>
      <c r="I200" s="258">
        <f t="shared" si="76"/>
        <v>13794.9</v>
      </c>
      <c r="J200" s="368"/>
      <c r="K200" s="136">
        <v>11</v>
      </c>
      <c r="L200" s="369">
        <f>SUM(E192:E200)</f>
        <v>26192.07</v>
      </c>
      <c r="M200" s="369">
        <f t="shared" ref="M200:P200" si="77">SUM(F192:F200)</f>
        <v>64313.07</v>
      </c>
      <c r="N200" s="369">
        <f t="shared" si="77"/>
        <v>7853.02</v>
      </c>
      <c r="O200" s="369">
        <f t="shared" si="77"/>
        <v>35718.020000000004</v>
      </c>
      <c r="P200" s="369">
        <f t="shared" si="77"/>
        <v>100031.09</v>
      </c>
    </row>
    <row r="201" spans="1:16" ht="16" customHeight="1">
      <c r="A201" s="267">
        <v>12</v>
      </c>
      <c r="B201" s="268" t="s">
        <v>665</v>
      </c>
      <c r="C201" s="323"/>
      <c r="D201" s="294"/>
      <c r="E201" s="304"/>
      <c r="F201" s="304"/>
      <c r="G201" s="304"/>
      <c r="H201" s="304"/>
      <c r="I201" s="304"/>
      <c r="J201" s="320"/>
    </row>
    <row r="202" spans="1:16" ht="15.4" customHeight="1">
      <c r="A202" s="138"/>
      <c r="B202" s="238" t="s">
        <v>143</v>
      </c>
      <c r="C202" s="370"/>
      <c r="D202" s="371"/>
      <c r="E202" s="258"/>
      <c r="F202" s="258"/>
      <c r="G202" s="258"/>
      <c r="H202" s="258"/>
      <c r="I202" s="258"/>
      <c r="J202" s="296"/>
    </row>
    <row r="203" spans="1:16" s="373" customFormat="1" ht="14.5" customHeight="1">
      <c r="A203" s="138">
        <v>12.1</v>
      </c>
      <c r="B203" s="238" t="s">
        <v>184</v>
      </c>
      <c r="C203" s="372"/>
      <c r="D203" s="371"/>
      <c r="E203" s="258"/>
      <c r="F203" s="258"/>
      <c r="G203" s="258"/>
      <c r="H203" s="258"/>
      <c r="I203" s="258"/>
      <c r="J203" s="296"/>
    </row>
    <row r="204" spans="1:16" s="373" customFormat="1" ht="14.5" customHeight="1">
      <c r="A204" s="138"/>
      <c r="B204" s="237" t="s">
        <v>445</v>
      </c>
      <c r="C204" s="372">
        <v>1</v>
      </c>
      <c r="D204" s="371" t="s">
        <v>73</v>
      </c>
      <c r="E204" s="258">
        <v>45000</v>
      </c>
      <c r="F204" s="258">
        <f t="shared" ref="F204:F207" si="78">E204*C204</f>
        <v>45000</v>
      </c>
      <c r="G204" s="258">
        <v>5000</v>
      </c>
      <c r="H204" s="258">
        <f t="shared" ref="H204:H207" si="79">C204*G204</f>
        <v>5000</v>
      </c>
      <c r="I204" s="258">
        <f t="shared" ref="I204:I207" si="80">H204+F204</f>
        <v>50000</v>
      </c>
      <c r="J204" s="374"/>
    </row>
    <row r="205" spans="1:16" s="373" customFormat="1" ht="14.5" customHeight="1">
      <c r="A205" s="138"/>
      <c r="B205" s="237" t="s">
        <v>446</v>
      </c>
      <c r="C205" s="372">
        <v>1</v>
      </c>
      <c r="D205" s="371" t="s">
        <v>73</v>
      </c>
      <c r="E205" s="258">
        <v>35000</v>
      </c>
      <c r="F205" s="258">
        <f t="shared" si="78"/>
        <v>35000</v>
      </c>
      <c r="G205" s="258">
        <v>110</v>
      </c>
      <c r="H205" s="258">
        <f t="shared" si="79"/>
        <v>110</v>
      </c>
      <c r="I205" s="258">
        <f t="shared" si="80"/>
        <v>35110</v>
      </c>
      <c r="J205" s="374"/>
    </row>
    <row r="206" spans="1:16" s="373" customFormat="1" ht="14.5" customHeight="1">
      <c r="A206" s="138"/>
      <c r="B206" s="237" t="s">
        <v>447</v>
      </c>
      <c r="C206" s="372">
        <v>1</v>
      </c>
      <c r="D206" s="371" t="s">
        <v>73</v>
      </c>
      <c r="E206" s="258">
        <v>4830</v>
      </c>
      <c r="F206" s="258">
        <f t="shared" si="78"/>
        <v>4830</v>
      </c>
      <c r="G206" s="258">
        <v>110</v>
      </c>
      <c r="H206" s="258">
        <f t="shared" si="79"/>
        <v>110</v>
      </c>
      <c r="I206" s="258">
        <f t="shared" si="80"/>
        <v>4940</v>
      </c>
      <c r="J206" s="374"/>
    </row>
    <row r="207" spans="1:16" s="373" customFormat="1" ht="14.5" customHeight="1">
      <c r="A207" s="138"/>
      <c r="B207" s="237" t="s">
        <v>448</v>
      </c>
      <c r="C207" s="372">
        <v>16</v>
      </c>
      <c r="D207" s="371" t="s">
        <v>73</v>
      </c>
      <c r="E207" s="258">
        <v>2420</v>
      </c>
      <c r="F207" s="258">
        <f t="shared" si="78"/>
        <v>38720</v>
      </c>
      <c r="G207" s="258">
        <v>110</v>
      </c>
      <c r="H207" s="258">
        <f t="shared" si="79"/>
        <v>1760</v>
      </c>
      <c r="I207" s="258">
        <f t="shared" si="80"/>
        <v>40480</v>
      </c>
      <c r="J207" s="374"/>
    </row>
    <row r="208" spans="1:16" s="373" customFormat="1" ht="14.5" customHeight="1">
      <c r="A208" s="256">
        <v>12.2</v>
      </c>
      <c r="B208" s="375" t="s">
        <v>449</v>
      </c>
      <c r="C208" s="376"/>
      <c r="D208" s="376"/>
      <c r="E208" s="258"/>
      <c r="F208" s="258"/>
      <c r="G208" s="258"/>
      <c r="H208" s="258"/>
      <c r="I208" s="258"/>
      <c r="J208" s="374"/>
    </row>
    <row r="209" spans="1:10" s="373" customFormat="1" ht="14.5" customHeight="1">
      <c r="A209" s="138"/>
      <c r="B209" s="237" t="s">
        <v>450</v>
      </c>
      <c r="C209" s="372">
        <v>1</v>
      </c>
      <c r="D209" s="371" t="s">
        <v>73</v>
      </c>
      <c r="E209" s="258">
        <v>6900</v>
      </c>
      <c r="F209" s="258">
        <f t="shared" ref="F209:F211" si="81">E209*C209</f>
        <v>6900</v>
      </c>
      <c r="G209" s="258">
        <v>1000</v>
      </c>
      <c r="H209" s="258">
        <f t="shared" ref="H209:H211" si="82">C209*G209</f>
        <v>1000</v>
      </c>
      <c r="I209" s="258">
        <f t="shared" ref="I209:I211" si="83">H209+F209</f>
        <v>7900</v>
      </c>
      <c r="J209" s="377"/>
    </row>
    <row r="210" spans="1:10" ht="16" customHeight="1">
      <c r="A210" s="138"/>
      <c r="B210" s="237" t="s">
        <v>451</v>
      </c>
      <c r="C210" s="372">
        <v>1</v>
      </c>
      <c r="D210" s="371" t="s">
        <v>73</v>
      </c>
      <c r="E210" s="258">
        <v>4620</v>
      </c>
      <c r="F210" s="258">
        <f t="shared" si="81"/>
        <v>4620</v>
      </c>
      <c r="G210" s="258">
        <v>110</v>
      </c>
      <c r="H210" s="258">
        <f t="shared" si="82"/>
        <v>110</v>
      </c>
      <c r="I210" s="258">
        <f t="shared" si="83"/>
        <v>4730</v>
      </c>
      <c r="J210" s="309"/>
    </row>
    <row r="211" spans="1:10" ht="16" customHeight="1">
      <c r="A211" s="138"/>
      <c r="B211" s="237" t="s">
        <v>452</v>
      </c>
      <c r="C211" s="372">
        <v>19</v>
      </c>
      <c r="D211" s="371" t="s">
        <v>73</v>
      </c>
      <c r="E211" s="258">
        <v>400</v>
      </c>
      <c r="F211" s="258">
        <f t="shared" si="81"/>
        <v>7600</v>
      </c>
      <c r="G211" s="258">
        <v>110</v>
      </c>
      <c r="H211" s="258">
        <f t="shared" si="82"/>
        <v>2090</v>
      </c>
      <c r="I211" s="258">
        <f t="shared" si="83"/>
        <v>9690</v>
      </c>
      <c r="J211" s="309"/>
    </row>
    <row r="212" spans="1:10" ht="16" customHeight="1">
      <c r="A212" s="378"/>
      <c r="B212" s="275" t="s">
        <v>21</v>
      </c>
      <c r="C212" s="276"/>
      <c r="D212" s="277"/>
      <c r="E212" s="278"/>
      <c r="F212" s="279">
        <f>SUM(F183:F211)</f>
        <v>7072332.1917513581</v>
      </c>
      <c r="G212" s="279"/>
      <c r="H212" s="279">
        <f>SUM(H183:H211)</f>
        <v>2397766.7500768001</v>
      </c>
      <c r="I212" s="279">
        <f>SUM(I183:I211)</f>
        <v>9470098.9418281596</v>
      </c>
      <c r="J212" s="280"/>
    </row>
    <row r="213" spans="1:10" ht="15.4" customHeight="1">
      <c r="A213" s="310"/>
      <c r="B213" s="311" t="s">
        <v>22</v>
      </c>
      <c r="C213" s="312"/>
      <c r="D213" s="313"/>
      <c r="E213" s="314"/>
      <c r="F213" s="315">
        <f>F212</f>
        <v>7072332.1917513581</v>
      </c>
      <c r="G213" s="315"/>
      <c r="H213" s="315">
        <f>H212</f>
        <v>2397766.7500768001</v>
      </c>
      <c r="I213" s="315">
        <f>I212</f>
        <v>9470098.9418281596</v>
      </c>
      <c r="J213" s="316"/>
    </row>
    <row r="214" spans="1:10" s="373" customFormat="1" ht="14.5" customHeight="1">
      <c r="A214" s="138"/>
      <c r="B214" s="237" t="s">
        <v>453</v>
      </c>
      <c r="C214" s="372">
        <v>1</v>
      </c>
      <c r="D214" s="371" t="s">
        <v>73</v>
      </c>
      <c r="E214" s="258">
        <v>1800</v>
      </c>
      <c r="F214" s="258">
        <f t="shared" ref="F214:F215" si="84">E214*C214</f>
        <v>1800</v>
      </c>
      <c r="G214" s="258">
        <v>110</v>
      </c>
      <c r="H214" s="258">
        <f t="shared" ref="H214:H215" si="85">C214*G214</f>
        <v>110</v>
      </c>
      <c r="I214" s="258">
        <f t="shared" ref="I214:I215" si="86">H214+F214</f>
        <v>1910</v>
      </c>
      <c r="J214" s="379"/>
    </row>
    <row r="215" spans="1:10" s="373" customFormat="1" ht="14.5" customHeight="1">
      <c r="A215" s="138"/>
      <c r="B215" s="237" t="s">
        <v>454</v>
      </c>
      <c r="C215" s="372">
        <v>2</v>
      </c>
      <c r="D215" s="371" t="s">
        <v>73</v>
      </c>
      <c r="E215" s="258">
        <v>1500</v>
      </c>
      <c r="F215" s="258">
        <f t="shared" si="84"/>
        <v>3000</v>
      </c>
      <c r="G215" s="258">
        <v>110</v>
      </c>
      <c r="H215" s="258">
        <f t="shared" si="85"/>
        <v>220</v>
      </c>
      <c r="I215" s="258">
        <f t="shared" si="86"/>
        <v>3220</v>
      </c>
      <c r="J215" s="374"/>
    </row>
    <row r="216" spans="1:10" s="373" customFormat="1" ht="14.5" customHeight="1">
      <c r="A216" s="138">
        <v>12.3</v>
      </c>
      <c r="B216" s="237" t="s">
        <v>455</v>
      </c>
      <c r="C216" s="371"/>
      <c r="D216" s="371"/>
      <c r="E216" s="258"/>
      <c r="F216" s="258"/>
      <c r="G216" s="258"/>
      <c r="H216" s="258"/>
      <c r="I216" s="258"/>
      <c r="J216" s="374"/>
    </row>
    <row r="217" spans="1:10" s="373" customFormat="1" ht="14.5" customHeight="1">
      <c r="A217" s="138"/>
      <c r="B217" s="237" t="s">
        <v>456</v>
      </c>
      <c r="C217" s="372">
        <f>1*4</f>
        <v>4</v>
      </c>
      <c r="D217" s="371" t="s">
        <v>73</v>
      </c>
      <c r="E217" s="258">
        <v>2600</v>
      </c>
      <c r="F217" s="258">
        <f t="shared" ref="F217:F222" si="87">E217*C217</f>
        <v>10400</v>
      </c>
      <c r="G217" s="258">
        <v>550</v>
      </c>
      <c r="H217" s="258">
        <f t="shared" ref="H217:H222" si="88">C217*G217</f>
        <v>2200</v>
      </c>
      <c r="I217" s="258">
        <f t="shared" ref="I217:I222" si="89">H217+F217</f>
        <v>12600</v>
      </c>
      <c r="J217" s="374"/>
    </row>
    <row r="218" spans="1:10" s="373" customFormat="1" ht="14.5" customHeight="1">
      <c r="A218" s="138"/>
      <c r="B218" s="237" t="s">
        <v>457</v>
      </c>
      <c r="C218" s="372">
        <f>1*4</f>
        <v>4</v>
      </c>
      <c r="D218" s="371" t="s">
        <v>73</v>
      </c>
      <c r="E218" s="258">
        <v>1200</v>
      </c>
      <c r="F218" s="258">
        <f t="shared" si="87"/>
        <v>4800</v>
      </c>
      <c r="G218" s="258">
        <v>110</v>
      </c>
      <c r="H218" s="258">
        <f t="shared" si="88"/>
        <v>440</v>
      </c>
      <c r="I218" s="258">
        <f t="shared" si="89"/>
        <v>5240</v>
      </c>
      <c r="J218" s="374"/>
    </row>
    <row r="219" spans="1:10" s="373" customFormat="1" ht="14.5" customHeight="1">
      <c r="A219" s="138"/>
      <c r="B219" s="237" t="s">
        <v>458</v>
      </c>
      <c r="C219" s="372">
        <f>5*4</f>
        <v>20</v>
      </c>
      <c r="D219" s="371" t="s">
        <v>73</v>
      </c>
      <c r="E219" s="258">
        <v>400</v>
      </c>
      <c r="F219" s="258">
        <f t="shared" si="87"/>
        <v>8000</v>
      </c>
      <c r="G219" s="258">
        <v>110</v>
      </c>
      <c r="H219" s="258">
        <f t="shared" si="88"/>
        <v>2200</v>
      </c>
      <c r="I219" s="258">
        <f t="shared" si="89"/>
        <v>10200</v>
      </c>
      <c r="J219" s="374"/>
    </row>
    <row r="220" spans="1:10" s="373" customFormat="1" ht="14.5" customHeight="1">
      <c r="A220" s="138"/>
      <c r="B220" s="237" t="s">
        <v>459</v>
      </c>
      <c r="C220" s="372">
        <f>3*4</f>
        <v>12</v>
      </c>
      <c r="D220" s="371" t="s">
        <v>73</v>
      </c>
      <c r="E220" s="258">
        <v>1000</v>
      </c>
      <c r="F220" s="258">
        <f t="shared" si="87"/>
        <v>12000</v>
      </c>
      <c r="G220" s="258">
        <v>110</v>
      </c>
      <c r="H220" s="258">
        <f t="shared" si="88"/>
        <v>1320</v>
      </c>
      <c r="I220" s="258">
        <f t="shared" si="89"/>
        <v>13320</v>
      </c>
      <c r="J220" s="380"/>
    </row>
    <row r="221" spans="1:10" s="373" customFormat="1" ht="14.5" customHeight="1">
      <c r="A221" s="138"/>
      <c r="B221" s="237" t="s">
        <v>460</v>
      </c>
      <c r="C221" s="372">
        <f>3*4</f>
        <v>12</v>
      </c>
      <c r="D221" s="371" t="s">
        <v>73</v>
      </c>
      <c r="E221" s="258">
        <v>2000</v>
      </c>
      <c r="F221" s="258">
        <f t="shared" si="87"/>
        <v>24000</v>
      </c>
      <c r="G221" s="258">
        <v>110</v>
      </c>
      <c r="H221" s="258">
        <f t="shared" si="88"/>
        <v>1320</v>
      </c>
      <c r="I221" s="258">
        <f t="shared" si="89"/>
        <v>25320</v>
      </c>
      <c r="J221" s="374"/>
    </row>
    <row r="222" spans="1:10" s="373" customFormat="1" ht="14.5" customHeight="1">
      <c r="A222" s="138"/>
      <c r="B222" s="237" t="s">
        <v>461</v>
      </c>
      <c r="C222" s="372">
        <f>1*16</f>
        <v>16</v>
      </c>
      <c r="D222" s="371" t="s">
        <v>73</v>
      </c>
      <c r="E222" s="258">
        <v>1000</v>
      </c>
      <c r="F222" s="258">
        <f t="shared" si="87"/>
        <v>16000</v>
      </c>
      <c r="G222" s="258">
        <v>110</v>
      </c>
      <c r="H222" s="258">
        <f t="shared" si="88"/>
        <v>1760</v>
      </c>
      <c r="I222" s="258">
        <f t="shared" si="89"/>
        <v>17760</v>
      </c>
      <c r="J222" s="374"/>
    </row>
    <row r="223" spans="1:10" s="373" customFormat="1" ht="14.5" customHeight="1">
      <c r="A223" s="138">
        <v>12.4</v>
      </c>
      <c r="B223" s="237" t="s">
        <v>462</v>
      </c>
      <c r="C223" s="371"/>
      <c r="D223" s="371"/>
      <c r="E223" s="258"/>
      <c r="F223" s="258"/>
      <c r="G223" s="258"/>
      <c r="H223" s="258"/>
      <c r="I223" s="258"/>
      <c r="J223" s="374"/>
    </row>
    <row r="224" spans="1:10" s="373" customFormat="1" ht="14.5" customHeight="1">
      <c r="A224" s="138"/>
      <c r="B224" s="237" t="s">
        <v>456</v>
      </c>
      <c r="C224" s="372">
        <f>1*4*3</f>
        <v>12</v>
      </c>
      <c r="D224" s="371" t="s">
        <v>73</v>
      </c>
      <c r="E224" s="258">
        <v>2600</v>
      </c>
      <c r="F224" s="258">
        <f t="shared" ref="F224:F231" si="90">E224*C224</f>
        <v>31200</v>
      </c>
      <c r="G224" s="258">
        <v>550</v>
      </c>
      <c r="H224" s="258">
        <f t="shared" ref="H224:H231" si="91">C224*G224</f>
        <v>6600</v>
      </c>
      <c r="I224" s="258">
        <f t="shared" ref="I224:I231" si="92">H224+F224</f>
        <v>37800</v>
      </c>
      <c r="J224" s="374"/>
    </row>
    <row r="225" spans="1:10" s="373" customFormat="1" ht="14.5" customHeight="1">
      <c r="A225" s="138"/>
      <c r="B225" s="237" t="s">
        <v>457</v>
      </c>
      <c r="C225" s="372">
        <f>1*4*3</f>
        <v>12</v>
      </c>
      <c r="D225" s="371" t="s">
        <v>73</v>
      </c>
      <c r="E225" s="258">
        <v>1200</v>
      </c>
      <c r="F225" s="258">
        <f t="shared" si="90"/>
        <v>14400</v>
      </c>
      <c r="G225" s="258">
        <v>110</v>
      </c>
      <c r="H225" s="258">
        <f t="shared" si="91"/>
        <v>1320</v>
      </c>
      <c r="I225" s="258">
        <f t="shared" si="92"/>
        <v>15720</v>
      </c>
      <c r="J225" s="374"/>
    </row>
    <row r="226" spans="1:10" s="373" customFormat="1" ht="14.5" customHeight="1">
      <c r="A226" s="138"/>
      <c r="B226" s="237" t="s">
        <v>458</v>
      </c>
      <c r="C226" s="372">
        <f>8*4*3</f>
        <v>96</v>
      </c>
      <c r="D226" s="371" t="s">
        <v>73</v>
      </c>
      <c r="E226" s="258">
        <v>400</v>
      </c>
      <c r="F226" s="258">
        <f t="shared" si="90"/>
        <v>38400</v>
      </c>
      <c r="G226" s="258">
        <v>110</v>
      </c>
      <c r="H226" s="258">
        <f t="shared" si="91"/>
        <v>10560</v>
      </c>
      <c r="I226" s="258">
        <f t="shared" si="92"/>
        <v>48960</v>
      </c>
      <c r="J226" s="374"/>
    </row>
    <row r="227" spans="1:10" s="373" customFormat="1" ht="14.5" customHeight="1">
      <c r="A227" s="138"/>
      <c r="B227" s="237" t="s">
        <v>460</v>
      </c>
      <c r="C227" s="372">
        <f>3*4*3</f>
        <v>36</v>
      </c>
      <c r="D227" s="371" t="s">
        <v>73</v>
      </c>
      <c r="E227" s="258">
        <v>400</v>
      </c>
      <c r="F227" s="258">
        <f t="shared" si="90"/>
        <v>14400</v>
      </c>
      <c r="G227" s="258">
        <v>30</v>
      </c>
      <c r="H227" s="258">
        <f t="shared" si="91"/>
        <v>1080</v>
      </c>
      <c r="I227" s="258">
        <f t="shared" si="92"/>
        <v>15480</v>
      </c>
      <c r="J227" s="380"/>
    </row>
    <row r="228" spans="1:10" s="373" customFormat="1" ht="14.5" customHeight="1">
      <c r="A228" s="138"/>
      <c r="B228" s="237" t="s">
        <v>461</v>
      </c>
      <c r="C228" s="372">
        <f>1*4*3</f>
        <v>12</v>
      </c>
      <c r="D228" s="371" t="s">
        <v>73</v>
      </c>
      <c r="E228" s="258">
        <v>1000</v>
      </c>
      <c r="F228" s="258">
        <f t="shared" si="90"/>
        <v>12000</v>
      </c>
      <c r="G228" s="258">
        <v>30</v>
      </c>
      <c r="H228" s="258">
        <f t="shared" si="91"/>
        <v>360</v>
      </c>
      <c r="I228" s="258">
        <f t="shared" si="92"/>
        <v>12360</v>
      </c>
      <c r="J228" s="374"/>
    </row>
    <row r="229" spans="1:10" s="373" customFormat="1" ht="14.5" customHeight="1">
      <c r="A229" s="138">
        <v>12.5</v>
      </c>
      <c r="B229" s="237" t="s">
        <v>185</v>
      </c>
      <c r="C229" s="372">
        <v>1</v>
      </c>
      <c r="D229" s="371" t="s">
        <v>73</v>
      </c>
      <c r="E229" s="258">
        <v>8500</v>
      </c>
      <c r="F229" s="258">
        <f t="shared" si="90"/>
        <v>8500</v>
      </c>
      <c r="G229" s="258">
        <v>800</v>
      </c>
      <c r="H229" s="258">
        <f t="shared" si="91"/>
        <v>800</v>
      </c>
      <c r="I229" s="258">
        <f t="shared" si="92"/>
        <v>9300</v>
      </c>
      <c r="J229" s="374"/>
    </row>
    <row r="230" spans="1:10" s="373" customFormat="1" ht="14.5" customHeight="1">
      <c r="A230" s="138"/>
      <c r="B230" s="237" t="s">
        <v>186</v>
      </c>
      <c r="C230" s="372">
        <v>16</v>
      </c>
      <c r="D230" s="371" t="s">
        <v>73</v>
      </c>
      <c r="E230" s="258">
        <v>900</v>
      </c>
      <c r="F230" s="258">
        <f t="shared" si="90"/>
        <v>14400</v>
      </c>
      <c r="G230" s="258">
        <v>500</v>
      </c>
      <c r="H230" s="258">
        <f t="shared" si="91"/>
        <v>8000</v>
      </c>
      <c r="I230" s="258">
        <f t="shared" si="92"/>
        <v>22400</v>
      </c>
      <c r="J230" s="374"/>
    </row>
    <row r="231" spans="1:10" s="373" customFormat="1" ht="14.5" customHeight="1">
      <c r="A231" s="138"/>
      <c r="B231" s="237" t="s">
        <v>187</v>
      </c>
      <c r="C231" s="372">
        <v>1</v>
      </c>
      <c r="D231" s="371" t="s">
        <v>73</v>
      </c>
      <c r="E231" s="258">
        <v>6300</v>
      </c>
      <c r="F231" s="258">
        <f t="shared" si="90"/>
        <v>6300</v>
      </c>
      <c r="G231" s="258">
        <v>500</v>
      </c>
      <c r="H231" s="258">
        <f t="shared" si="91"/>
        <v>500</v>
      </c>
      <c r="I231" s="258">
        <f t="shared" si="92"/>
        <v>6800</v>
      </c>
      <c r="J231" s="374"/>
    </row>
    <row r="232" spans="1:10" s="373" customFormat="1" ht="14.5" customHeight="1">
      <c r="A232" s="138">
        <v>12.6</v>
      </c>
      <c r="B232" s="212" t="s">
        <v>191</v>
      </c>
      <c r="C232" s="381"/>
      <c r="D232" s="382"/>
      <c r="E232" s="258"/>
      <c r="F232" s="258"/>
      <c r="G232" s="258"/>
      <c r="H232" s="258"/>
      <c r="I232" s="258"/>
      <c r="J232" s="374"/>
    </row>
    <row r="233" spans="1:10" s="373" customFormat="1" ht="14.5" customHeight="1">
      <c r="A233" s="138" t="s">
        <v>483</v>
      </c>
      <c r="B233" s="139" t="s">
        <v>188</v>
      </c>
      <c r="C233" s="372">
        <v>2</v>
      </c>
      <c r="D233" s="371" t="s">
        <v>73</v>
      </c>
      <c r="E233" s="258">
        <v>120</v>
      </c>
      <c r="F233" s="258">
        <f t="shared" ref="F233:F242" si="93">E233*C233</f>
        <v>240</v>
      </c>
      <c r="G233" s="258">
        <v>50</v>
      </c>
      <c r="H233" s="258">
        <f t="shared" ref="H233:H242" si="94">C233*G233</f>
        <v>100</v>
      </c>
      <c r="I233" s="258">
        <f t="shared" ref="I233:I242" si="95">H233+F233</f>
        <v>340</v>
      </c>
      <c r="J233" s="383"/>
    </row>
    <row r="234" spans="1:10" s="373" customFormat="1" ht="14.5" customHeight="1">
      <c r="A234" s="138" t="s">
        <v>484</v>
      </c>
      <c r="B234" s="139" t="s">
        <v>189</v>
      </c>
      <c r="C234" s="372">
        <v>2</v>
      </c>
      <c r="D234" s="371" t="s">
        <v>73</v>
      </c>
      <c r="E234" s="258">
        <v>300</v>
      </c>
      <c r="F234" s="258">
        <f t="shared" si="93"/>
        <v>600</v>
      </c>
      <c r="G234" s="258">
        <v>50</v>
      </c>
      <c r="H234" s="258">
        <f t="shared" si="94"/>
        <v>100</v>
      </c>
      <c r="I234" s="258">
        <f t="shared" si="95"/>
        <v>700</v>
      </c>
      <c r="J234" s="383"/>
    </row>
    <row r="235" spans="1:10" s="373" customFormat="1" ht="14.5" customHeight="1">
      <c r="A235" s="138" t="s">
        <v>485</v>
      </c>
      <c r="B235" s="384" t="s">
        <v>531</v>
      </c>
      <c r="C235" s="371">
        <f>(1+1.5+2)*2</f>
        <v>9</v>
      </c>
      <c r="D235" s="371" t="s">
        <v>637</v>
      </c>
      <c r="E235" s="258">
        <v>300</v>
      </c>
      <c r="F235" s="258">
        <f t="shared" si="93"/>
        <v>2700</v>
      </c>
      <c r="G235" s="258">
        <v>60</v>
      </c>
      <c r="H235" s="258">
        <f t="shared" si="94"/>
        <v>540</v>
      </c>
      <c r="I235" s="258">
        <f t="shared" si="95"/>
        <v>3240</v>
      </c>
      <c r="J235" s="385"/>
    </row>
    <row r="236" spans="1:10" s="373" customFormat="1" ht="14.5" customHeight="1">
      <c r="A236" s="138" t="s">
        <v>486</v>
      </c>
      <c r="B236" s="384" t="s">
        <v>463</v>
      </c>
      <c r="C236" s="371">
        <v>172</v>
      </c>
      <c r="D236" s="371" t="s">
        <v>637</v>
      </c>
      <c r="E236" s="258">
        <v>350</v>
      </c>
      <c r="F236" s="258">
        <f t="shared" si="93"/>
        <v>60200</v>
      </c>
      <c r="G236" s="258">
        <v>25</v>
      </c>
      <c r="H236" s="258">
        <f t="shared" si="94"/>
        <v>4300</v>
      </c>
      <c r="I236" s="258">
        <f t="shared" si="95"/>
        <v>64500</v>
      </c>
      <c r="J236" s="374"/>
    </row>
    <row r="237" spans="1:10" s="373" customFormat="1" ht="14.5" customHeight="1">
      <c r="A237" s="138" t="s">
        <v>487</v>
      </c>
      <c r="B237" s="384" t="s">
        <v>464</v>
      </c>
      <c r="C237" s="371">
        <v>72</v>
      </c>
      <c r="D237" s="371" t="s">
        <v>637</v>
      </c>
      <c r="E237" s="258">
        <v>395</v>
      </c>
      <c r="F237" s="258">
        <f t="shared" si="93"/>
        <v>28440</v>
      </c>
      <c r="G237" s="258">
        <v>30</v>
      </c>
      <c r="H237" s="258">
        <f t="shared" si="94"/>
        <v>2160</v>
      </c>
      <c r="I237" s="258">
        <f t="shared" si="95"/>
        <v>30600</v>
      </c>
      <c r="J237" s="296"/>
    </row>
    <row r="238" spans="1:10" s="373" customFormat="1" ht="14.5" customHeight="1">
      <c r="A238" s="138" t="s">
        <v>488</v>
      </c>
      <c r="B238" s="384" t="s">
        <v>465</v>
      </c>
      <c r="C238" s="371">
        <v>40</v>
      </c>
      <c r="D238" s="371" t="s">
        <v>637</v>
      </c>
      <c r="E238" s="258">
        <v>615</v>
      </c>
      <c r="F238" s="258">
        <f t="shared" si="93"/>
        <v>24600</v>
      </c>
      <c r="G238" s="258">
        <v>55</v>
      </c>
      <c r="H238" s="258">
        <f t="shared" si="94"/>
        <v>2200</v>
      </c>
      <c r="I238" s="258">
        <f t="shared" si="95"/>
        <v>26800</v>
      </c>
      <c r="J238" s="296"/>
    </row>
    <row r="239" spans="1:10" s="373" customFormat="1" ht="14.5" customHeight="1">
      <c r="A239" s="252" t="s">
        <v>489</v>
      </c>
      <c r="B239" s="386" t="s">
        <v>532</v>
      </c>
      <c r="C239" s="387">
        <v>460</v>
      </c>
      <c r="D239" s="387" t="s">
        <v>637</v>
      </c>
      <c r="E239" s="137">
        <v>44.8</v>
      </c>
      <c r="F239" s="137">
        <f t="shared" si="93"/>
        <v>20608</v>
      </c>
      <c r="G239" s="137">
        <v>24</v>
      </c>
      <c r="H239" s="137">
        <f t="shared" si="94"/>
        <v>11040</v>
      </c>
      <c r="I239" s="137">
        <f t="shared" si="95"/>
        <v>31648</v>
      </c>
      <c r="J239" s="238"/>
    </row>
    <row r="240" spans="1:10" s="373" customFormat="1" ht="14.5" customHeight="1">
      <c r="A240" s="256" t="s">
        <v>490</v>
      </c>
      <c r="B240" s="388" t="s">
        <v>533</v>
      </c>
      <c r="C240" s="376">
        <v>460</v>
      </c>
      <c r="D240" s="376" t="s">
        <v>637</v>
      </c>
      <c r="E240" s="258">
        <v>31.03</v>
      </c>
      <c r="F240" s="258">
        <f t="shared" si="93"/>
        <v>14273.800000000001</v>
      </c>
      <c r="G240" s="258">
        <v>22</v>
      </c>
      <c r="H240" s="258">
        <f t="shared" si="94"/>
        <v>10120</v>
      </c>
      <c r="I240" s="258">
        <f t="shared" si="95"/>
        <v>24393.800000000003</v>
      </c>
      <c r="J240" s="238"/>
    </row>
    <row r="241" spans="1:18" s="373" customFormat="1" ht="14.5" customHeight="1">
      <c r="A241" s="138" t="s">
        <v>491</v>
      </c>
      <c r="B241" s="384" t="s">
        <v>534</v>
      </c>
      <c r="C241" s="371">
        <v>5</v>
      </c>
      <c r="D241" s="371" t="s">
        <v>637</v>
      </c>
      <c r="E241" s="258">
        <v>14.63</v>
      </c>
      <c r="F241" s="258">
        <f t="shared" si="93"/>
        <v>73.150000000000006</v>
      </c>
      <c r="G241" s="258">
        <v>15</v>
      </c>
      <c r="H241" s="258">
        <f t="shared" si="94"/>
        <v>75</v>
      </c>
      <c r="I241" s="258">
        <f t="shared" si="95"/>
        <v>148.15</v>
      </c>
      <c r="J241" s="238"/>
    </row>
    <row r="242" spans="1:18" s="373" customFormat="1" ht="14.5" customHeight="1">
      <c r="A242" s="138" t="s">
        <v>492</v>
      </c>
      <c r="B242" s="212" t="s">
        <v>182</v>
      </c>
      <c r="C242" s="389">
        <v>1</v>
      </c>
      <c r="D242" s="371" t="s">
        <v>74</v>
      </c>
      <c r="E242" s="258">
        <v>6091.26</v>
      </c>
      <c r="F242" s="258">
        <f t="shared" si="93"/>
        <v>6091.26</v>
      </c>
      <c r="G242" s="258">
        <v>3330</v>
      </c>
      <c r="H242" s="258">
        <f t="shared" si="94"/>
        <v>3330</v>
      </c>
      <c r="I242" s="258">
        <f t="shared" si="95"/>
        <v>9421.26</v>
      </c>
      <c r="J242" s="238"/>
    </row>
    <row r="243" spans="1:18" s="373" customFormat="1" ht="14.5" customHeight="1">
      <c r="A243" s="252"/>
      <c r="B243" s="386"/>
      <c r="C243" s="387"/>
      <c r="D243" s="387"/>
      <c r="E243" s="137"/>
      <c r="F243" s="137"/>
      <c r="G243" s="137"/>
      <c r="H243" s="137"/>
      <c r="I243" s="137"/>
      <c r="J243" s="390"/>
    </row>
    <row r="244" spans="1:18" ht="15.4" customHeight="1">
      <c r="A244" s="274"/>
      <c r="B244" s="353" t="s">
        <v>21</v>
      </c>
      <c r="C244" s="277"/>
      <c r="D244" s="277"/>
      <c r="E244" s="278"/>
      <c r="F244" s="279">
        <f>SUM(F213:F243)</f>
        <v>7449758.4017513581</v>
      </c>
      <c r="G244" s="279"/>
      <c r="H244" s="279">
        <f>SUM(H213:H243)</f>
        <v>2470521.7500768001</v>
      </c>
      <c r="I244" s="279">
        <f>SUM(I213:I243)</f>
        <v>9920280.1518281605</v>
      </c>
      <c r="J244" s="354"/>
    </row>
    <row r="245" spans="1:18" ht="16" customHeight="1">
      <c r="A245" s="310"/>
      <c r="B245" s="311" t="s">
        <v>22</v>
      </c>
      <c r="C245" s="391"/>
      <c r="D245" s="391"/>
      <c r="E245" s="392"/>
      <c r="F245" s="393">
        <f>F244</f>
        <v>7449758.4017513581</v>
      </c>
      <c r="G245" s="393"/>
      <c r="H245" s="393">
        <f>H244</f>
        <v>2470521.7500768001</v>
      </c>
      <c r="I245" s="393">
        <f>I244</f>
        <v>9920280.1518281605</v>
      </c>
      <c r="J245" s="394"/>
    </row>
    <row r="246" spans="1:18" s="373" customFormat="1" ht="14.5" customHeight="1">
      <c r="A246" s="138">
        <v>12.7</v>
      </c>
      <c r="B246" s="139" t="s">
        <v>138</v>
      </c>
      <c r="C246" s="372"/>
      <c r="D246" s="371"/>
      <c r="E246" s="258"/>
      <c r="F246" s="258"/>
      <c r="G246" s="258"/>
      <c r="H246" s="258"/>
      <c r="I246" s="258"/>
      <c r="J246" s="395"/>
    </row>
    <row r="247" spans="1:18" s="373" customFormat="1" ht="14.5" customHeight="1">
      <c r="A247" s="138" t="s">
        <v>493</v>
      </c>
      <c r="B247" s="384" t="s">
        <v>466</v>
      </c>
      <c r="C247" s="396">
        <v>5600</v>
      </c>
      <c r="D247" s="371" t="s">
        <v>637</v>
      </c>
      <c r="E247" s="258">
        <v>9.23</v>
      </c>
      <c r="F247" s="258">
        <f t="shared" ref="F247:F257" si="96">E247*C247</f>
        <v>51688</v>
      </c>
      <c r="G247" s="258">
        <v>7</v>
      </c>
      <c r="H247" s="258">
        <f t="shared" ref="H247:H257" si="97">C247*G247</f>
        <v>39200</v>
      </c>
      <c r="I247" s="258">
        <f t="shared" ref="I247:I257" si="98">H247+F247</f>
        <v>90888</v>
      </c>
      <c r="J247" s="139"/>
    </row>
    <row r="248" spans="1:18" s="373" customFormat="1" ht="14.5" customHeight="1">
      <c r="A248" s="138" t="s">
        <v>494</v>
      </c>
      <c r="B248" s="384" t="s">
        <v>467</v>
      </c>
      <c r="C248" s="396">
        <v>2500</v>
      </c>
      <c r="D248" s="371" t="s">
        <v>637</v>
      </c>
      <c r="E248" s="258">
        <v>13.93</v>
      </c>
      <c r="F248" s="258">
        <f t="shared" si="96"/>
        <v>34825</v>
      </c>
      <c r="G248" s="258">
        <v>10</v>
      </c>
      <c r="H248" s="258">
        <f t="shared" si="97"/>
        <v>25000</v>
      </c>
      <c r="I248" s="258">
        <f t="shared" si="98"/>
        <v>59825</v>
      </c>
      <c r="J248" s="261"/>
    </row>
    <row r="249" spans="1:18" s="373" customFormat="1" ht="14.5" customHeight="1">
      <c r="A249" s="138" t="s">
        <v>495</v>
      </c>
      <c r="B249" s="384" t="s">
        <v>468</v>
      </c>
      <c r="C249" s="396">
        <v>1700</v>
      </c>
      <c r="D249" s="371" t="s">
        <v>637</v>
      </c>
      <c r="E249" s="258">
        <v>22.92</v>
      </c>
      <c r="F249" s="258">
        <f t="shared" si="96"/>
        <v>38964</v>
      </c>
      <c r="G249" s="258">
        <v>12</v>
      </c>
      <c r="H249" s="258">
        <f t="shared" si="97"/>
        <v>20400</v>
      </c>
      <c r="I249" s="258">
        <f t="shared" si="98"/>
        <v>59364</v>
      </c>
      <c r="J249" s="261"/>
      <c r="R249" s="397"/>
    </row>
    <row r="250" spans="1:18" s="373" customFormat="1" ht="14.5" customHeight="1">
      <c r="A250" s="138" t="s">
        <v>496</v>
      </c>
      <c r="B250" s="384" t="s">
        <v>232</v>
      </c>
      <c r="C250" s="396">
        <v>400</v>
      </c>
      <c r="D250" s="371" t="s">
        <v>637</v>
      </c>
      <c r="E250" s="258">
        <v>39.93</v>
      </c>
      <c r="F250" s="258">
        <f t="shared" si="96"/>
        <v>15972</v>
      </c>
      <c r="G250" s="258">
        <v>16</v>
      </c>
      <c r="H250" s="258">
        <f t="shared" si="97"/>
        <v>6400</v>
      </c>
      <c r="I250" s="258">
        <f t="shared" si="98"/>
        <v>22372</v>
      </c>
      <c r="J250" s="261"/>
      <c r="R250" s="397"/>
    </row>
    <row r="251" spans="1:18" s="373" customFormat="1" ht="14.5" customHeight="1">
      <c r="A251" s="138" t="s">
        <v>497</v>
      </c>
      <c r="B251" s="384" t="s">
        <v>233</v>
      </c>
      <c r="C251" s="396">
        <v>1570</v>
      </c>
      <c r="D251" s="371" t="s">
        <v>637</v>
      </c>
      <c r="E251" s="258">
        <v>97.2</v>
      </c>
      <c r="F251" s="258">
        <f t="shared" si="96"/>
        <v>152604</v>
      </c>
      <c r="G251" s="258">
        <v>25</v>
      </c>
      <c r="H251" s="258">
        <f t="shared" si="97"/>
        <v>39250</v>
      </c>
      <c r="I251" s="258">
        <f t="shared" si="98"/>
        <v>191854</v>
      </c>
      <c r="J251" s="139"/>
      <c r="R251" s="397"/>
    </row>
    <row r="252" spans="1:18" s="373" customFormat="1" ht="14.5" customHeight="1">
      <c r="A252" s="138" t="s">
        <v>498</v>
      </c>
      <c r="B252" s="384" t="s">
        <v>674</v>
      </c>
      <c r="C252" s="396">
        <f>(4*30)*2</f>
        <v>240</v>
      </c>
      <c r="D252" s="371" t="s">
        <v>637</v>
      </c>
      <c r="E252" s="258">
        <v>463.32</v>
      </c>
      <c r="F252" s="258">
        <f t="shared" si="96"/>
        <v>111196.8</v>
      </c>
      <c r="G252" s="258">
        <v>60</v>
      </c>
      <c r="H252" s="258">
        <f t="shared" si="97"/>
        <v>14400</v>
      </c>
      <c r="I252" s="258">
        <f t="shared" si="98"/>
        <v>125596.8</v>
      </c>
      <c r="J252" s="139"/>
      <c r="R252" s="397"/>
    </row>
    <row r="253" spans="1:18" s="373" customFormat="1" ht="14.5" customHeight="1">
      <c r="A253" s="138" t="s">
        <v>499</v>
      </c>
      <c r="B253" s="384" t="s">
        <v>675</v>
      </c>
      <c r="C253" s="396">
        <f>50*1</f>
        <v>50</v>
      </c>
      <c r="D253" s="371" t="s">
        <v>637</v>
      </c>
      <c r="E253" s="258">
        <v>428</v>
      </c>
      <c r="F253" s="258">
        <f t="shared" si="96"/>
        <v>21400</v>
      </c>
      <c r="G253" s="258">
        <v>70</v>
      </c>
      <c r="H253" s="258">
        <f t="shared" si="97"/>
        <v>3500</v>
      </c>
      <c r="I253" s="258">
        <f t="shared" si="98"/>
        <v>24900</v>
      </c>
      <c r="J253" s="139"/>
    </row>
    <row r="254" spans="1:18" s="373" customFormat="1" ht="14.5" customHeight="1">
      <c r="A254" s="138" t="s">
        <v>500</v>
      </c>
      <c r="B254" s="384" t="s">
        <v>676</v>
      </c>
      <c r="C254" s="396">
        <f>50*3</f>
        <v>150</v>
      </c>
      <c r="D254" s="371" t="s">
        <v>637</v>
      </c>
      <c r="E254" s="258">
        <v>950</v>
      </c>
      <c r="F254" s="258">
        <f t="shared" si="96"/>
        <v>142500</v>
      </c>
      <c r="G254" s="258">
        <v>85</v>
      </c>
      <c r="H254" s="258">
        <f t="shared" si="97"/>
        <v>12750</v>
      </c>
      <c r="I254" s="258">
        <f t="shared" si="98"/>
        <v>155250</v>
      </c>
      <c r="J254" s="398"/>
    </row>
    <row r="255" spans="1:18" s="373" customFormat="1" ht="14.5" customHeight="1">
      <c r="A255" s="138" t="s">
        <v>501</v>
      </c>
      <c r="B255" s="384" t="s">
        <v>190</v>
      </c>
      <c r="C255" s="396">
        <f>(5+2.4+2.4+2.4)+2.8</f>
        <v>15</v>
      </c>
      <c r="D255" s="371" t="s">
        <v>637</v>
      </c>
      <c r="E255" s="258">
        <v>206.28</v>
      </c>
      <c r="F255" s="258">
        <f t="shared" si="96"/>
        <v>3094.2</v>
      </c>
      <c r="G255" s="258">
        <v>60</v>
      </c>
      <c r="H255" s="258">
        <f t="shared" si="97"/>
        <v>900</v>
      </c>
      <c r="I255" s="258">
        <f t="shared" si="98"/>
        <v>3994.2</v>
      </c>
      <c r="J255" s="398"/>
    </row>
    <row r="256" spans="1:18" s="373" customFormat="1" ht="14.5" customHeight="1">
      <c r="A256" s="138" t="s">
        <v>502</v>
      </c>
      <c r="B256" s="384" t="s">
        <v>234</v>
      </c>
      <c r="C256" s="372">
        <v>1</v>
      </c>
      <c r="D256" s="371" t="s">
        <v>73</v>
      </c>
      <c r="E256" s="258">
        <v>2940</v>
      </c>
      <c r="F256" s="258">
        <f t="shared" si="96"/>
        <v>2940</v>
      </c>
      <c r="G256" s="258">
        <v>450</v>
      </c>
      <c r="H256" s="258">
        <f t="shared" si="97"/>
        <v>450</v>
      </c>
      <c r="I256" s="258">
        <f t="shared" si="98"/>
        <v>3390</v>
      </c>
      <c r="J256" s="399"/>
    </row>
    <row r="257" spans="1:18" s="373" customFormat="1" ht="14.5" customHeight="1">
      <c r="A257" s="138" t="s">
        <v>503</v>
      </c>
      <c r="B257" s="400" t="s">
        <v>182</v>
      </c>
      <c r="C257" s="372">
        <v>1</v>
      </c>
      <c r="D257" s="371" t="s">
        <v>74</v>
      </c>
      <c r="E257" s="258">
        <v>23217.64</v>
      </c>
      <c r="F257" s="258">
        <f t="shared" si="96"/>
        <v>23217.64</v>
      </c>
      <c r="G257" s="258">
        <v>8090</v>
      </c>
      <c r="H257" s="258">
        <f t="shared" si="97"/>
        <v>8090</v>
      </c>
      <c r="I257" s="258">
        <f t="shared" si="98"/>
        <v>31307.64</v>
      </c>
      <c r="J257" s="399"/>
    </row>
    <row r="258" spans="1:18" s="373" customFormat="1" ht="14.5" customHeight="1">
      <c r="A258" s="256">
        <v>12.8</v>
      </c>
      <c r="B258" s="212" t="s">
        <v>139</v>
      </c>
      <c r="C258" s="376"/>
      <c r="D258" s="376"/>
      <c r="E258" s="258"/>
      <c r="F258" s="258"/>
      <c r="G258" s="258"/>
      <c r="H258" s="258"/>
      <c r="I258" s="258"/>
      <c r="J258" s="139"/>
    </row>
    <row r="259" spans="1:18" s="373" customFormat="1" ht="14.5" customHeight="1">
      <c r="A259" s="138" t="s">
        <v>504</v>
      </c>
      <c r="B259" s="400" t="s">
        <v>469</v>
      </c>
      <c r="C259" s="372">
        <v>2</v>
      </c>
      <c r="D259" s="371" t="s">
        <v>73</v>
      </c>
      <c r="E259" s="258">
        <v>495</v>
      </c>
      <c r="F259" s="258">
        <f t="shared" ref="F259:F268" si="99">E259*C259</f>
        <v>990</v>
      </c>
      <c r="G259" s="258">
        <v>115</v>
      </c>
      <c r="H259" s="258">
        <f t="shared" ref="H259:H268" si="100">C259*G259</f>
        <v>230</v>
      </c>
      <c r="I259" s="258">
        <f t="shared" ref="I259:I268" si="101">H259+F259</f>
        <v>1220</v>
      </c>
      <c r="J259" s="261"/>
    </row>
    <row r="260" spans="1:18" s="373" customFormat="1" ht="14.5" customHeight="1">
      <c r="A260" s="138" t="s">
        <v>505</v>
      </c>
      <c r="B260" s="400" t="s">
        <v>470</v>
      </c>
      <c r="C260" s="372">
        <v>48</v>
      </c>
      <c r="D260" s="371" t="s">
        <v>73</v>
      </c>
      <c r="E260" s="258">
        <v>250</v>
      </c>
      <c r="F260" s="258">
        <f t="shared" si="99"/>
        <v>12000</v>
      </c>
      <c r="G260" s="258">
        <v>115</v>
      </c>
      <c r="H260" s="258">
        <f t="shared" si="100"/>
        <v>5520</v>
      </c>
      <c r="I260" s="258">
        <f t="shared" si="101"/>
        <v>17520</v>
      </c>
      <c r="J260" s="266"/>
    </row>
    <row r="261" spans="1:18" s="373" customFormat="1" ht="14.5" customHeight="1">
      <c r="A261" s="138" t="s">
        <v>506</v>
      </c>
      <c r="B261" s="400" t="s">
        <v>471</v>
      </c>
      <c r="C261" s="372">
        <v>144</v>
      </c>
      <c r="D261" s="371" t="s">
        <v>73</v>
      </c>
      <c r="E261" s="258">
        <v>300</v>
      </c>
      <c r="F261" s="258">
        <f t="shared" si="99"/>
        <v>43200</v>
      </c>
      <c r="G261" s="258">
        <v>115</v>
      </c>
      <c r="H261" s="258">
        <f t="shared" si="100"/>
        <v>16560</v>
      </c>
      <c r="I261" s="258">
        <f t="shared" si="101"/>
        <v>59760</v>
      </c>
      <c r="J261" s="259"/>
    </row>
    <row r="262" spans="1:18" s="373" customFormat="1" ht="14.5" customHeight="1">
      <c r="A262" s="138" t="s">
        <v>507</v>
      </c>
      <c r="B262" s="400" t="s">
        <v>472</v>
      </c>
      <c r="C262" s="372">
        <v>4</v>
      </c>
      <c r="D262" s="371" t="s">
        <v>73</v>
      </c>
      <c r="E262" s="258">
        <v>1600</v>
      </c>
      <c r="F262" s="258">
        <f t="shared" si="99"/>
        <v>6400</v>
      </c>
      <c r="G262" s="258">
        <v>115</v>
      </c>
      <c r="H262" s="258">
        <f t="shared" si="100"/>
        <v>460</v>
      </c>
      <c r="I262" s="258">
        <f t="shared" si="101"/>
        <v>6860</v>
      </c>
      <c r="J262" s="261"/>
    </row>
    <row r="263" spans="1:18" s="373" customFormat="1" ht="14.5" customHeight="1">
      <c r="A263" s="138" t="s">
        <v>508</v>
      </c>
      <c r="B263" s="400" t="s">
        <v>473</v>
      </c>
      <c r="C263" s="372">
        <v>3</v>
      </c>
      <c r="D263" s="371" t="s">
        <v>73</v>
      </c>
      <c r="E263" s="258">
        <v>500</v>
      </c>
      <c r="F263" s="258">
        <f t="shared" si="99"/>
        <v>1500</v>
      </c>
      <c r="G263" s="258">
        <v>50</v>
      </c>
      <c r="H263" s="258">
        <f t="shared" si="100"/>
        <v>150</v>
      </c>
      <c r="I263" s="258">
        <f t="shared" si="101"/>
        <v>1650</v>
      </c>
      <c r="J263" s="261"/>
    </row>
    <row r="264" spans="1:18" s="373" customFormat="1" ht="14.5" customHeight="1">
      <c r="A264" s="138" t="s">
        <v>509</v>
      </c>
      <c r="B264" s="400" t="s">
        <v>474</v>
      </c>
      <c r="C264" s="372">
        <v>65</v>
      </c>
      <c r="D264" s="371" t="s">
        <v>73</v>
      </c>
      <c r="E264" s="258">
        <v>95</v>
      </c>
      <c r="F264" s="258">
        <f t="shared" si="99"/>
        <v>6175</v>
      </c>
      <c r="G264" s="258">
        <v>80</v>
      </c>
      <c r="H264" s="258">
        <f t="shared" si="100"/>
        <v>5200</v>
      </c>
      <c r="I264" s="258">
        <f t="shared" si="101"/>
        <v>11375</v>
      </c>
      <c r="J264" s="261"/>
    </row>
    <row r="265" spans="1:18" s="373" customFormat="1" ht="14.5" customHeight="1">
      <c r="A265" s="138" t="s">
        <v>510</v>
      </c>
      <c r="B265" s="400" t="s">
        <v>475</v>
      </c>
      <c r="C265" s="372">
        <v>4</v>
      </c>
      <c r="D265" s="371" t="s">
        <v>73</v>
      </c>
      <c r="E265" s="258">
        <v>125</v>
      </c>
      <c r="F265" s="258">
        <f t="shared" si="99"/>
        <v>500</v>
      </c>
      <c r="G265" s="258">
        <v>90</v>
      </c>
      <c r="H265" s="258">
        <f t="shared" si="100"/>
        <v>360</v>
      </c>
      <c r="I265" s="258">
        <f t="shared" si="101"/>
        <v>860</v>
      </c>
      <c r="J265" s="261"/>
    </row>
    <row r="266" spans="1:18" s="373" customFormat="1" ht="14.5" customHeight="1">
      <c r="A266" s="138" t="s">
        <v>511</v>
      </c>
      <c r="B266" s="400" t="s">
        <v>476</v>
      </c>
      <c r="C266" s="372">
        <v>36</v>
      </c>
      <c r="D266" s="371" t="s">
        <v>73</v>
      </c>
      <c r="E266" s="258">
        <v>155</v>
      </c>
      <c r="F266" s="258">
        <f t="shared" si="99"/>
        <v>5580</v>
      </c>
      <c r="G266" s="258">
        <v>90</v>
      </c>
      <c r="H266" s="258">
        <f t="shared" si="100"/>
        <v>3240</v>
      </c>
      <c r="I266" s="258">
        <f t="shared" si="101"/>
        <v>8820</v>
      </c>
      <c r="J266" s="261"/>
    </row>
    <row r="267" spans="1:18" s="373" customFormat="1" ht="14.5" customHeight="1">
      <c r="A267" s="138" t="s">
        <v>512</v>
      </c>
      <c r="B267" s="400" t="s">
        <v>477</v>
      </c>
      <c r="C267" s="372">
        <v>4</v>
      </c>
      <c r="D267" s="371" t="s">
        <v>73</v>
      </c>
      <c r="E267" s="258">
        <v>200</v>
      </c>
      <c r="F267" s="258">
        <f t="shared" si="99"/>
        <v>800</v>
      </c>
      <c r="G267" s="258">
        <v>85</v>
      </c>
      <c r="H267" s="258">
        <f t="shared" si="100"/>
        <v>340</v>
      </c>
      <c r="I267" s="258">
        <f t="shared" si="101"/>
        <v>1140</v>
      </c>
      <c r="J267" s="261"/>
    </row>
    <row r="268" spans="1:18" s="373" customFormat="1" ht="14.5" customHeight="1">
      <c r="A268" s="138" t="s">
        <v>513</v>
      </c>
      <c r="B268" s="400" t="s">
        <v>478</v>
      </c>
      <c r="C268" s="372">
        <v>216</v>
      </c>
      <c r="D268" s="371" t="s">
        <v>73</v>
      </c>
      <c r="E268" s="258">
        <v>120</v>
      </c>
      <c r="F268" s="258">
        <f t="shared" si="99"/>
        <v>25920</v>
      </c>
      <c r="G268" s="258">
        <v>90</v>
      </c>
      <c r="H268" s="258">
        <f t="shared" si="100"/>
        <v>19440</v>
      </c>
      <c r="I268" s="258">
        <f t="shared" si="101"/>
        <v>45360</v>
      </c>
      <c r="J268" s="261"/>
    </row>
    <row r="269" spans="1:18" s="373" customFormat="1" ht="14.5" customHeight="1">
      <c r="A269" s="138" t="s">
        <v>514</v>
      </c>
      <c r="B269" s="212" t="s">
        <v>479</v>
      </c>
      <c r="C269" s="371"/>
      <c r="D269" s="371"/>
      <c r="E269" s="258"/>
      <c r="F269" s="258"/>
      <c r="G269" s="258"/>
      <c r="H269" s="258"/>
      <c r="I269" s="258"/>
      <c r="J269" s="261"/>
    </row>
    <row r="270" spans="1:18" s="373" customFormat="1" ht="14.5" customHeight="1">
      <c r="A270" s="138" t="s">
        <v>515</v>
      </c>
      <c r="B270" s="384" t="s">
        <v>480</v>
      </c>
      <c r="C270" s="372">
        <v>48</v>
      </c>
      <c r="D270" s="371" t="s">
        <v>73</v>
      </c>
      <c r="E270" s="258">
        <v>528</v>
      </c>
      <c r="F270" s="258">
        <f t="shared" ref="F270:F271" si="102">E270*C270</f>
        <v>25344</v>
      </c>
      <c r="G270" s="258">
        <v>110</v>
      </c>
      <c r="H270" s="258">
        <f t="shared" ref="H270" si="103">C270*G270</f>
        <v>5280</v>
      </c>
      <c r="I270" s="258">
        <f t="shared" ref="I270:I271" si="104">H270+F270</f>
        <v>30624</v>
      </c>
      <c r="J270" s="261"/>
    </row>
    <row r="271" spans="1:18" s="373" customFormat="1" ht="14.5" customHeight="1">
      <c r="A271" s="252" t="s">
        <v>516</v>
      </c>
      <c r="B271" s="147" t="s">
        <v>517</v>
      </c>
      <c r="C271" s="401">
        <v>2</v>
      </c>
      <c r="D271" s="402" t="s">
        <v>88</v>
      </c>
      <c r="E271" s="258">
        <v>11500</v>
      </c>
      <c r="F271" s="258">
        <f t="shared" si="102"/>
        <v>23000</v>
      </c>
      <c r="G271" s="258"/>
      <c r="H271" s="258"/>
      <c r="I271" s="258">
        <f t="shared" si="104"/>
        <v>23000</v>
      </c>
      <c r="J271" s="247" t="s">
        <v>664</v>
      </c>
      <c r="R271" s="403"/>
    </row>
    <row r="272" spans="1:18" s="373" customFormat="1" ht="14.5" customHeight="1">
      <c r="A272" s="404">
        <v>13</v>
      </c>
      <c r="B272" s="405" t="s">
        <v>170</v>
      </c>
      <c r="C272" s="406"/>
      <c r="D272" s="291"/>
      <c r="E272" s="292"/>
      <c r="F272" s="292"/>
      <c r="G272" s="292"/>
      <c r="H272" s="292"/>
      <c r="I272" s="292"/>
      <c r="J272" s="261"/>
      <c r="R272" s="403"/>
    </row>
    <row r="273" spans="1:18" s="373" customFormat="1" ht="14.5" customHeight="1">
      <c r="A273" s="138">
        <v>13.1</v>
      </c>
      <c r="B273" s="212" t="s">
        <v>630</v>
      </c>
      <c r="C273" s="324">
        <v>8</v>
      </c>
      <c r="D273" s="260" t="s">
        <v>27</v>
      </c>
      <c r="E273" s="258">
        <v>1500</v>
      </c>
      <c r="F273" s="258">
        <f t="shared" ref="F273:F275" si="105">E273*C273</f>
        <v>12000</v>
      </c>
      <c r="G273" s="258">
        <v>50</v>
      </c>
      <c r="H273" s="258">
        <f t="shared" ref="H273:H275" si="106">C273*G273</f>
        <v>400</v>
      </c>
      <c r="I273" s="258">
        <f t="shared" ref="I273:I275" si="107">H273+F273</f>
        <v>12400</v>
      </c>
      <c r="J273" s="266"/>
      <c r="R273" s="403"/>
    </row>
    <row r="274" spans="1:18" s="373" customFormat="1" ht="14.5" customHeight="1">
      <c r="A274" s="138">
        <v>13.2</v>
      </c>
      <c r="B274" s="212" t="s">
        <v>652</v>
      </c>
      <c r="C274" s="324">
        <v>2</v>
      </c>
      <c r="D274" s="260" t="s">
        <v>27</v>
      </c>
      <c r="E274" s="258">
        <v>45800</v>
      </c>
      <c r="F274" s="258">
        <f t="shared" si="105"/>
        <v>91600</v>
      </c>
      <c r="G274" s="258">
        <v>1000</v>
      </c>
      <c r="H274" s="258">
        <f t="shared" si="106"/>
        <v>2000</v>
      </c>
      <c r="I274" s="258">
        <f t="shared" si="107"/>
        <v>93600</v>
      </c>
      <c r="J274" s="407"/>
      <c r="R274" s="403"/>
    </row>
    <row r="275" spans="1:18" s="373" customFormat="1" ht="14.5" customHeight="1">
      <c r="A275" s="138">
        <v>13.3</v>
      </c>
      <c r="B275" s="212" t="s">
        <v>653</v>
      </c>
      <c r="C275" s="324">
        <v>1</v>
      </c>
      <c r="D275" s="260" t="s">
        <v>27</v>
      </c>
      <c r="E275" s="258">
        <v>17000</v>
      </c>
      <c r="F275" s="258">
        <f t="shared" si="105"/>
        <v>17000</v>
      </c>
      <c r="G275" s="258">
        <v>500</v>
      </c>
      <c r="H275" s="258">
        <f t="shared" si="106"/>
        <v>500</v>
      </c>
      <c r="I275" s="258">
        <f t="shared" si="107"/>
        <v>17500</v>
      </c>
      <c r="J275" s="408"/>
    </row>
    <row r="276" spans="1:18" ht="16" customHeight="1">
      <c r="A276" s="274"/>
      <c r="B276" s="353" t="s">
        <v>21</v>
      </c>
      <c r="C276" s="409"/>
      <c r="D276" s="277"/>
      <c r="E276" s="278"/>
      <c r="F276" s="279">
        <f>SUM(F245:F275)</f>
        <v>8320169.0417513577</v>
      </c>
      <c r="G276" s="279"/>
      <c r="H276" s="279">
        <f>SUM(H245:H275)</f>
        <v>2700541.7500768001</v>
      </c>
      <c r="I276" s="279">
        <f>SUM(I245:I275)</f>
        <v>11020710.791828161</v>
      </c>
      <c r="J276" s="354"/>
    </row>
    <row r="277" spans="1:18" ht="16" customHeight="1">
      <c r="A277" s="310"/>
      <c r="B277" s="311" t="s">
        <v>22</v>
      </c>
      <c r="C277" s="410"/>
      <c r="D277" s="391"/>
      <c r="E277" s="392"/>
      <c r="F277" s="393">
        <f>F276</f>
        <v>8320169.0417513577</v>
      </c>
      <c r="G277" s="393"/>
      <c r="H277" s="393">
        <f>H276</f>
        <v>2700541.7500768001</v>
      </c>
      <c r="I277" s="393">
        <f>I276</f>
        <v>11020710.791828161</v>
      </c>
      <c r="J277" s="394"/>
    </row>
    <row r="278" spans="1:18" ht="16" customHeight="1">
      <c r="A278" s="138">
        <v>13.4</v>
      </c>
      <c r="B278" s="139" t="s">
        <v>631</v>
      </c>
      <c r="C278" s="324">
        <v>4</v>
      </c>
      <c r="D278" s="260" t="s">
        <v>27</v>
      </c>
      <c r="E278" s="258">
        <v>3675</v>
      </c>
      <c r="F278" s="258">
        <f t="shared" ref="F278:F280" si="108">E278*C278</f>
        <v>14700</v>
      </c>
      <c r="G278" s="258">
        <v>800</v>
      </c>
      <c r="H278" s="258">
        <f t="shared" ref="H278:H280" si="109">C278*G278</f>
        <v>3200</v>
      </c>
      <c r="I278" s="258">
        <f t="shared" ref="I278:I280" si="110">H278+F278</f>
        <v>17900</v>
      </c>
      <c r="J278" s="319"/>
    </row>
    <row r="279" spans="1:18" ht="16" customHeight="1">
      <c r="A279" s="138">
        <v>13.5</v>
      </c>
      <c r="B279" s="212" t="s">
        <v>140</v>
      </c>
      <c r="C279" s="324">
        <v>1</v>
      </c>
      <c r="D279" s="260" t="s">
        <v>27</v>
      </c>
      <c r="E279" s="258">
        <v>36920</v>
      </c>
      <c r="F279" s="258">
        <f t="shared" si="108"/>
        <v>36920</v>
      </c>
      <c r="G279" s="258">
        <v>5600</v>
      </c>
      <c r="H279" s="258">
        <f t="shared" si="109"/>
        <v>5600</v>
      </c>
      <c r="I279" s="258">
        <f t="shared" si="110"/>
        <v>42520</v>
      </c>
      <c r="J279" s="261"/>
    </row>
    <row r="280" spans="1:18" ht="16" customHeight="1">
      <c r="A280" s="138">
        <v>13.6</v>
      </c>
      <c r="B280" s="212" t="s">
        <v>204</v>
      </c>
      <c r="C280" s="324">
        <v>2</v>
      </c>
      <c r="D280" s="260" t="s">
        <v>27</v>
      </c>
      <c r="E280" s="258">
        <v>43500</v>
      </c>
      <c r="F280" s="258">
        <f t="shared" si="108"/>
        <v>87000</v>
      </c>
      <c r="G280" s="258">
        <v>7100</v>
      </c>
      <c r="H280" s="258">
        <f t="shared" si="109"/>
        <v>14200</v>
      </c>
      <c r="I280" s="258">
        <f t="shared" si="110"/>
        <v>101200</v>
      </c>
      <c r="J280" s="139"/>
    </row>
    <row r="281" spans="1:18" ht="16" customHeight="1">
      <c r="A281" s="138"/>
      <c r="B281" s="212" t="s">
        <v>535</v>
      </c>
      <c r="C281" s="324"/>
      <c r="D281" s="260"/>
      <c r="E281" s="258"/>
      <c r="F281" s="258"/>
      <c r="G281" s="258"/>
      <c r="H281" s="258"/>
      <c r="I281" s="258"/>
      <c r="J281" s="261"/>
    </row>
    <row r="282" spans="1:18" ht="16" customHeight="1">
      <c r="A282" s="252"/>
      <c r="B282" s="411" t="s">
        <v>171</v>
      </c>
      <c r="C282" s="332"/>
      <c r="D282" s="272"/>
      <c r="E282" s="258"/>
      <c r="F282" s="258"/>
      <c r="G282" s="258"/>
      <c r="H282" s="258"/>
      <c r="I282" s="258"/>
      <c r="J282" s="139"/>
    </row>
    <row r="283" spans="1:18" ht="16" customHeight="1">
      <c r="A283" s="252">
        <v>13.7</v>
      </c>
      <c r="B283" s="308" t="s">
        <v>632</v>
      </c>
      <c r="C283" s="324">
        <v>1</v>
      </c>
      <c r="D283" s="260" t="s">
        <v>27</v>
      </c>
      <c r="E283" s="258">
        <v>2000</v>
      </c>
      <c r="F283" s="258">
        <f t="shared" ref="F283:F287" si="111">E283*C283</f>
        <v>2000</v>
      </c>
      <c r="G283" s="258"/>
      <c r="H283" s="258"/>
      <c r="I283" s="258">
        <f t="shared" ref="I283:I288" si="112">H283+F283</f>
        <v>2000</v>
      </c>
      <c r="J283" s="139"/>
    </row>
    <row r="284" spans="1:18" ht="16" customHeight="1">
      <c r="A284" s="252">
        <v>13.8</v>
      </c>
      <c r="B284" s="308" t="s">
        <v>172</v>
      </c>
      <c r="C284" s="324">
        <v>1</v>
      </c>
      <c r="D284" s="260" t="s">
        <v>27</v>
      </c>
      <c r="E284" s="258">
        <v>450</v>
      </c>
      <c r="F284" s="258">
        <f t="shared" si="111"/>
        <v>450</v>
      </c>
      <c r="G284" s="258"/>
      <c r="H284" s="258"/>
      <c r="I284" s="258">
        <f t="shared" si="112"/>
        <v>450</v>
      </c>
      <c r="J284" s="139"/>
    </row>
    <row r="285" spans="1:18" ht="16" customHeight="1">
      <c r="A285" s="252">
        <v>13.9</v>
      </c>
      <c r="B285" s="238" t="s">
        <v>173</v>
      </c>
      <c r="C285" s="324">
        <v>1</v>
      </c>
      <c r="D285" s="260" t="s">
        <v>27</v>
      </c>
      <c r="E285" s="258">
        <v>1800</v>
      </c>
      <c r="F285" s="258">
        <f t="shared" si="111"/>
        <v>1800</v>
      </c>
      <c r="G285" s="258"/>
      <c r="H285" s="258"/>
      <c r="I285" s="258">
        <f t="shared" si="112"/>
        <v>1800</v>
      </c>
      <c r="J285" s="412"/>
    </row>
    <row r="286" spans="1:18" ht="16" customHeight="1">
      <c r="A286" s="413">
        <v>13.1</v>
      </c>
      <c r="B286" s="237" t="s">
        <v>174</v>
      </c>
      <c r="C286" s="324">
        <v>16</v>
      </c>
      <c r="D286" s="260" t="s">
        <v>27</v>
      </c>
      <c r="E286" s="258">
        <v>550</v>
      </c>
      <c r="F286" s="258">
        <f t="shared" si="111"/>
        <v>8800</v>
      </c>
      <c r="G286" s="258"/>
      <c r="H286" s="258"/>
      <c r="I286" s="258">
        <f t="shared" si="112"/>
        <v>8800</v>
      </c>
      <c r="J286" s="414"/>
    </row>
    <row r="287" spans="1:18" ht="16" customHeight="1">
      <c r="A287" s="252">
        <v>13.11</v>
      </c>
      <c r="B287" s="237" t="s">
        <v>176</v>
      </c>
      <c r="C287" s="324">
        <v>16</v>
      </c>
      <c r="D287" s="260" t="s">
        <v>27</v>
      </c>
      <c r="E287" s="258">
        <v>165</v>
      </c>
      <c r="F287" s="258">
        <f t="shared" si="111"/>
        <v>2640</v>
      </c>
      <c r="G287" s="258">
        <v>80</v>
      </c>
      <c r="H287" s="258">
        <f t="shared" ref="H287:H288" si="113">C287*G287</f>
        <v>1280</v>
      </c>
      <c r="I287" s="258">
        <f t="shared" si="112"/>
        <v>3920</v>
      </c>
      <c r="J287" s="309"/>
    </row>
    <row r="288" spans="1:18" ht="16" customHeight="1">
      <c r="A288" s="252">
        <v>13.12</v>
      </c>
      <c r="B288" s="237" t="s">
        <v>175</v>
      </c>
      <c r="C288" s="324">
        <v>16</v>
      </c>
      <c r="D288" s="260" t="s">
        <v>16</v>
      </c>
      <c r="E288" s="258"/>
      <c r="F288" s="258"/>
      <c r="G288" s="258">
        <v>593.75</v>
      </c>
      <c r="H288" s="258">
        <f t="shared" si="113"/>
        <v>9500</v>
      </c>
      <c r="I288" s="258">
        <f t="shared" si="112"/>
        <v>9500</v>
      </c>
      <c r="J288" s="415"/>
    </row>
    <row r="289" spans="1:16" ht="16" customHeight="1">
      <c r="A289" s="138"/>
      <c r="B289" s="367" t="s">
        <v>666</v>
      </c>
      <c r="C289" s="335"/>
      <c r="D289" s="294"/>
      <c r="E289" s="304"/>
      <c r="F289" s="292"/>
      <c r="G289" s="292"/>
      <c r="H289" s="258"/>
      <c r="I289" s="292"/>
      <c r="J289" s="296"/>
    </row>
    <row r="290" spans="1:16" ht="16" customHeight="1">
      <c r="A290" s="138">
        <v>13.13</v>
      </c>
      <c r="B290" s="238" t="s">
        <v>654</v>
      </c>
      <c r="C290" s="335">
        <v>8</v>
      </c>
      <c r="D290" s="294" t="s">
        <v>27</v>
      </c>
      <c r="E290" s="304">
        <v>5000</v>
      </c>
      <c r="F290" s="292">
        <f t="shared" ref="F290:F294" si="114">E290*C290</f>
        <v>40000</v>
      </c>
      <c r="G290" s="292"/>
      <c r="H290" s="258"/>
      <c r="I290" s="292">
        <f t="shared" ref="I290:I295" si="115">H290+F290</f>
        <v>40000</v>
      </c>
      <c r="J290" s="296"/>
    </row>
    <row r="291" spans="1:16" ht="16" customHeight="1">
      <c r="A291" s="138">
        <v>13.14</v>
      </c>
      <c r="B291" s="238" t="s">
        <v>655</v>
      </c>
      <c r="C291" s="335">
        <v>15</v>
      </c>
      <c r="D291" s="294" t="s">
        <v>27</v>
      </c>
      <c r="E291" s="304">
        <v>4800</v>
      </c>
      <c r="F291" s="292">
        <f t="shared" si="114"/>
        <v>72000</v>
      </c>
      <c r="G291" s="292"/>
      <c r="H291" s="258"/>
      <c r="I291" s="292">
        <f t="shared" si="115"/>
        <v>72000</v>
      </c>
      <c r="J291" s="296"/>
    </row>
    <row r="292" spans="1:16" ht="16" customHeight="1">
      <c r="A292" s="138">
        <v>13.15</v>
      </c>
      <c r="B292" s="238" t="s">
        <v>656</v>
      </c>
      <c r="C292" s="335">
        <v>15</v>
      </c>
      <c r="D292" s="294" t="s">
        <v>27</v>
      </c>
      <c r="E292" s="304">
        <v>6000</v>
      </c>
      <c r="F292" s="292">
        <f t="shared" si="114"/>
        <v>90000</v>
      </c>
      <c r="G292" s="292"/>
      <c r="H292" s="258"/>
      <c r="I292" s="292">
        <f t="shared" si="115"/>
        <v>90000</v>
      </c>
      <c r="J292" s="299"/>
      <c r="K292" s="136">
        <v>13</v>
      </c>
      <c r="L292" s="141">
        <f>SUM(E279:E284,E287:E292)</f>
        <v>98835</v>
      </c>
      <c r="M292" s="141">
        <f t="shared" ref="M292:P292" si="116">SUM(F279:F284,F287:F292)</f>
        <v>331010</v>
      </c>
      <c r="N292" s="141">
        <f t="shared" si="116"/>
        <v>13373.75</v>
      </c>
      <c r="O292" s="141">
        <f t="shared" si="116"/>
        <v>30580</v>
      </c>
      <c r="P292" s="141">
        <f t="shared" si="116"/>
        <v>361590</v>
      </c>
    </row>
    <row r="293" spans="1:16" ht="16" customHeight="1">
      <c r="A293" s="138">
        <v>13.16</v>
      </c>
      <c r="B293" s="238" t="s">
        <v>657</v>
      </c>
      <c r="C293" s="335">
        <v>10</v>
      </c>
      <c r="D293" s="294" t="s">
        <v>27</v>
      </c>
      <c r="E293" s="304">
        <v>600</v>
      </c>
      <c r="F293" s="292">
        <f t="shared" si="114"/>
        <v>6000</v>
      </c>
      <c r="G293" s="292"/>
      <c r="H293" s="258"/>
      <c r="I293" s="292">
        <f t="shared" si="115"/>
        <v>6000</v>
      </c>
      <c r="J293" s="299"/>
    </row>
    <row r="294" spans="1:16" ht="16" customHeight="1">
      <c r="A294" s="138">
        <v>13.17</v>
      </c>
      <c r="B294" s="238" t="s">
        <v>658</v>
      </c>
      <c r="C294" s="335">
        <v>8</v>
      </c>
      <c r="D294" s="294" t="s">
        <v>27</v>
      </c>
      <c r="E294" s="304">
        <v>7500</v>
      </c>
      <c r="F294" s="292">
        <f t="shared" si="114"/>
        <v>60000</v>
      </c>
      <c r="G294" s="292"/>
      <c r="H294" s="258"/>
      <c r="I294" s="292">
        <f t="shared" si="115"/>
        <v>60000</v>
      </c>
      <c r="J294" s="296"/>
    </row>
    <row r="295" spans="1:16" ht="16" customHeight="1">
      <c r="A295" s="138">
        <v>13.8</v>
      </c>
      <c r="B295" s="238" t="s">
        <v>660</v>
      </c>
      <c r="C295" s="335">
        <v>16</v>
      </c>
      <c r="D295" s="294" t="s">
        <v>16</v>
      </c>
      <c r="E295" s="292"/>
      <c r="F295" s="292"/>
      <c r="G295" s="258">
        <v>500</v>
      </c>
      <c r="H295" s="258">
        <f t="shared" ref="H295" si="117">C295*G295</f>
        <v>8000</v>
      </c>
      <c r="I295" s="258">
        <f t="shared" si="115"/>
        <v>8000</v>
      </c>
      <c r="J295" s="415"/>
    </row>
    <row r="296" spans="1:16" ht="16" customHeight="1">
      <c r="A296" s="267">
        <v>14</v>
      </c>
      <c r="B296" s="321" t="s">
        <v>633</v>
      </c>
      <c r="C296" s="324"/>
      <c r="D296" s="260"/>
      <c r="E296" s="140"/>
      <c r="F296" s="416"/>
      <c r="G296" s="140"/>
      <c r="H296" s="416"/>
      <c r="I296" s="417"/>
      <c r="J296" s="415"/>
    </row>
    <row r="297" spans="1:16" ht="16" customHeight="1">
      <c r="A297" s="252">
        <v>14.1</v>
      </c>
      <c r="B297" s="308" t="s">
        <v>519</v>
      </c>
      <c r="C297" s="418">
        <f>16*2</f>
        <v>32</v>
      </c>
      <c r="D297" s="294" t="s">
        <v>27</v>
      </c>
      <c r="E297" s="292">
        <v>4000</v>
      </c>
      <c r="F297" s="292">
        <f t="shared" ref="F297:F304" si="118">E297*C297</f>
        <v>128000</v>
      </c>
      <c r="G297" s="292"/>
      <c r="H297" s="292"/>
      <c r="I297" s="292">
        <f t="shared" ref="I297:I304" si="119">H297+F297</f>
        <v>128000</v>
      </c>
      <c r="J297" s="415"/>
    </row>
    <row r="298" spans="1:16" ht="16" customHeight="1">
      <c r="A298" s="252">
        <v>14.2</v>
      </c>
      <c r="B298" s="237" t="s">
        <v>520</v>
      </c>
      <c r="C298" s="418">
        <f>16</f>
        <v>16</v>
      </c>
      <c r="D298" s="294" t="s">
        <v>27</v>
      </c>
      <c r="E298" s="292">
        <v>5500</v>
      </c>
      <c r="F298" s="292">
        <f t="shared" si="118"/>
        <v>88000</v>
      </c>
      <c r="G298" s="292"/>
      <c r="H298" s="292"/>
      <c r="I298" s="292">
        <f t="shared" si="119"/>
        <v>88000</v>
      </c>
      <c r="J298" s="419"/>
    </row>
    <row r="299" spans="1:16" ht="16" customHeight="1">
      <c r="A299" s="138">
        <v>14.3</v>
      </c>
      <c r="B299" s="237" t="s">
        <v>634</v>
      </c>
      <c r="C299" s="418">
        <f>16*2</f>
        <v>32</v>
      </c>
      <c r="D299" s="294" t="s">
        <v>27</v>
      </c>
      <c r="E299" s="292">
        <v>5000</v>
      </c>
      <c r="F299" s="292">
        <f t="shared" si="118"/>
        <v>160000</v>
      </c>
      <c r="G299" s="292"/>
      <c r="H299" s="292"/>
      <c r="I299" s="292">
        <f t="shared" si="119"/>
        <v>160000</v>
      </c>
      <c r="J299" s="329"/>
    </row>
    <row r="300" spans="1:16" ht="16" customHeight="1">
      <c r="A300" s="138">
        <v>14.4</v>
      </c>
      <c r="B300" s="237" t="s">
        <v>635</v>
      </c>
      <c r="C300" s="335">
        <f>16*1</f>
        <v>16</v>
      </c>
      <c r="D300" s="294" t="s">
        <v>27</v>
      </c>
      <c r="E300" s="292">
        <v>2000</v>
      </c>
      <c r="F300" s="292">
        <f t="shared" si="118"/>
        <v>32000</v>
      </c>
      <c r="G300" s="292"/>
      <c r="H300" s="292"/>
      <c r="I300" s="292">
        <f t="shared" si="119"/>
        <v>32000</v>
      </c>
      <c r="J300" s="329"/>
    </row>
    <row r="301" spans="1:16" ht="16" customHeight="1">
      <c r="A301" s="138">
        <v>14.5</v>
      </c>
      <c r="B301" s="238" t="s">
        <v>518</v>
      </c>
      <c r="C301" s="335">
        <f>16*2</f>
        <v>32</v>
      </c>
      <c r="D301" s="294" t="s">
        <v>27</v>
      </c>
      <c r="E301" s="292">
        <v>2140</v>
      </c>
      <c r="F301" s="292">
        <f t="shared" si="118"/>
        <v>68480</v>
      </c>
      <c r="G301" s="292"/>
      <c r="H301" s="292"/>
      <c r="I301" s="292">
        <f t="shared" si="119"/>
        <v>68480</v>
      </c>
      <c r="J301" s="329"/>
    </row>
    <row r="302" spans="1:16" ht="16" customHeight="1">
      <c r="A302" s="138">
        <v>14.6</v>
      </c>
      <c r="B302" s="238" t="s">
        <v>636</v>
      </c>
      <c r="C302" s="335">
        <v>1</v>
      </c>
      <c r="D302" s="294" t="s">
        <v>27</v>
      </c>
      <c r="E302" s="292">
        <v>68000</v>
      </c>
      <c r="F302" s="292">
        <f t="shared" si="118"/>
        <v>68000</v>
      </c>
      <c r="G302" s="292"/>
      <c r="H302" s="292"/>
      <c r="I302" s="292">
        <f t="shared" si="119"/>
        <v>68000</v>
      </c>
      <c r="J302" s="299"/>
    </row>
    <row r="303" spans="1:16" ht="16" customHeight="1">
      <c r="A303" s="138">
        <v>14.7</v>
      </c>
      <c r="B303" s="238" t="s">
        <v>668</v>
      </c>
      <c r="C303" s="335">
        <v>16</v>
      </c>
      <c r="D303" s="294" t="s">
        <v>27</v>
      </c>
      <c r="E303" s="292">
        <v>6500</v>
      </c>
      <c r="F303" s="292">
        <f t="shared" si="118"/>
        <v>104000</v>
      </c>
      <c r="G303" s="292"/>
      <c r="H303" s="292"/>
      <c r="I303" s="292">
        <f t="shared" si="119"/>
        <v>104000</v>
      </c>
      <c r="J303" s="299" t="s">
        <v>567</v>
      </c>
    </row>
    <row r="304" spans="1:16" ht="16" customHeight="1">
      <c r="A304" s="138">
        <v>14.8</v>
      </c>
      <c r="B304" s="238" t="s">
        <v>659</v>
      </c>
      <c r="C304" s="335">
        <v>16</v>
      </c>
      <c r="D304" s="294" t="s">
        <v>27</v>
      </c>
      <c r="E304" s="292">
        <v>4850</v>
      </c>
      <c r="F304" s="292">
        <f t="shared" si="118"/>
        <v>77600</v>
      </c>
      <c r="G304" s="292"/>
      <c r="H304" s="292"/>
      <c r="I304" s="292">
        <f t="shared" si="119"/>
        <v>77600</v>
      </c>
      <c r="J304" s="309"/>
    </row>
    <row r="305" spans="1:10" ht="16.149999999999999" customHeight="1">
      <c r="A305" s="378" t="s">
        <v>1</v>
      </c>
      <c r="B305" s="353" t="s">
        <v>15</v>
      </c>
      <c r="C305" s="277"/>
      <c r="D305" s="277"/>
      <c r="E305" s="278"/>
      <c r="F305" s="279">
        <f>SUM(F277:F304)</f>
        <v>9468559.0417513587</v>
      </c>
      <c r="G305" s="279"/>
      <c r="H305" s="279">
        <f>SUM(H277:H304)</f>
        <v>2742321.7500768001</v>
      </c>
      <c r="I305" s="279">
        <f>SUM(I277:I304)</f>
        <v>12210880.791828161</v>
      </c>
      <c r="J305" s="354"/>
    </row>
    <row r="306" spans="1:10" s="127" customFormat="1" ht="14.5" customHeight="1">
      <c r="A306" s="128"/>
      <c r="B306" s="128"/>
      <c r="C306" s="123"/>
      <c r="D306" s="124"/>
      <c r="E306" s="125"/>
      <c r="F306" s="125"/>
      <c r="G306" s="125"/>
      <c r="H306" s="125"/>
      <c r="I306" s="125"/>
      <c r="J306" s="126"/>
    </row>
    <row r="307" spans="1:10" s="127" customFormat="1" ht="14.5" customHeight="1">
      <c r="A307" s="128"/>
      <c r="B307" s="128"/>
      <c r="C307" s="123"/>
      <c r="D307" s="124"/>
      <c r="E307" s="125"/>
      <c r="F307" s="125"/>
      <c r="G307" s="125"/>
      <c r="H307" s="125"/>
      <c r="I307" s="125"/>
      <c r="J307" s="129"/>
    </row>
    <row r="308" spans="1:10" s="127" customFormat="1" ht="14.5" customHeight="1">
      <c r="A308" s="128"/>
      <c r="B308" s="129"/>
      <c r="C308" s="123"/>
      <c r="D308" s="124"/>
      <c r="E308" s="125"/>
      <c r="F308" s="125"/>
      <c r="G308" s="125"/>
      <c r="H308" s="125"/>
      <c r="I308" s="125"/>
      <c r="J308" s="129"/>
    </row>
    <row r="309" spans="1:10" s="127" customFormat="1" ht="14.5" customHeight="1">
      <c r="A309" s="128"/>
      <c r="B309" s="129"/>
      <c r="C309" s="123"/>
      <c r="D309" s="124"/>
      <c r="E309" s="125"/>
      <c r="F309" s="125"/>
      <c r="G309" s="125"/>
      <c r="H309" s="125"/>
      <c r="I309" s="125"/>
      <c r="J309" s="129"/>
    </row>
    <row r="310" spans="1:10" s="127" customFormat="1" ht="14.5" customHeight="1">
      <c r="A310" s="128"/>
      <c r="B310" s="130"/>
      <c r="C310" s="124"/>
      <c r="D310" s="124"/>
      <c r="E310" s="125"/>
      <c r="F310" s="125"/>
      <c r="G310" s="125"/>
      <c r="H310" s="125"/>
      <c r="I310" s="125"/>
      <c r="J310" s="129"/>
    </row>
    <row r="311" spans="1:10" s="127" customFormat="1" ht="14.5" customHeight="1">
      <c r="A311" s="128"/>
      <c r="B311" s="130"/>
      <c r="C311" s="124"/>
      <c r="D311" s="124"/>
      <c r="E311" s="125"/>
      <c r="F311" s="125"/>
      <c r="G311" s="125"/>
      <c r="H311" s="125"/>
      <c r="I311" s="125"/>
      <c r="J311" s="129"/>
    </row>
    <row r="312" spans="1:10" s="127" customFormat="1" ht="14.5" customHeight="1">
      <c r="A312" s="128"/>
      <c r="B312" s="130"/>
      <c r="C312" s="124"/>
      <c r="D312" s="124"/>
      <c r="E312" s="125"/>
      <c r="F312" s="125"/>
      <c r="G312" s="125"/>
      <c r="H312" s="125"/>
      <c r="I312" s="125"/>
      <c r="J312" s="129"/>
    </row>
    <row r="313" spans="1:10" s="127" customFormat="1" ht="14.5" customHeight="1">
      <c r="A313" s="128"/>
      <c r="B313" s="130"/>
      <c r="C313" s="124"/>
      <c r="D313" s="124"/>
      <c r="E313" s="125"/>
      <c r="F313" s="125"/>
      <c r="G313" s="125"/>
      <c r="H313" s="125"/>
      <c r="I313" s="125"/>
      <c r="J313" s="129"/>
    </row>
    <row r="314" spans="1:10" s="127" customFormat="1" ht="14.5" customHeight="1">
      <c r="A314" s="128"/>
      <c r="B314" s="130"/>
      <c r="C314" s="124"/>
      <c r="D314" s="124"/>
      <c r="E314" s="125"/>
      <c r="F314" s="125"/>
      <c r="G314" s="125"/>
      <c r="H314" s="125"/>
      <c r="I314" s="125"/>
      <c r="J314" s="129"/>
    </row>
    <row r="315" spans="1:10" s="127" customFormat="1" ht="14.5" customHeight="1">
      <c r="A315" s="128"/>
      <c r="B315" s="130"/>
      <c r="C315" s="124"/>
      <c r="D315" s="124"/>
      <c r="E315" s="125"/>
      <c r="F315" s="125"/>
      <c r="G315" s="125"/>
      <c r="H315" s="125"/>
      <c r="I315" s="125"/>
      <c r="J315" s="129"/>
    </row>
    <row r="316" spans="1:10" s="127" customFormat="1" ht="14.5" customHeight="1">
      <c r="A316" s="128"/>
      <c r="B316" s="130"/>
      <c r="C316" s="124"/>
      <c r="D316" s="124"/>
      <c r="E316" s="125"/>
      <c r="F316" s="125"/>
      <c r="G316" s="125"/>
      <c r="H316" s="125"/>
      <c r="I316" s="125"/>
      <c r="J316" s="129"/>
    </row>
    <row r="317" spans="1:10" s="127" customFormat="1" ht="14.5" customHeight="1">
      <c r="A317" s="128"/>
      <c r="B317" s="128"/>
      <c r="C317" s="123"/>
      <c r="D317" s="124"/>
      <c r="E317" s="125"/>
      <c r="F317" s="125"/>
      <c r="G317" s="125"/>
      <c r="H317" s="125"/>
      <c r="I317" s="125"/>
      <c r="J317" s="129"/>
    </row>
    <row r="318" spans="1:10" s="127" customFormat="1" ht="14.5" customHeight="1">
      <c r="A318" s="128"/>
      <c r="B318" s="129"/>
      <c r="C318" s="123"/>
      <c r="D318" s="124"/>
      <c r="E318" s="125"/>
      <c r="F318" s="125"/>
      <c r="G318" s="125"/>
      <c r="H318" s="125"/>
      <c r="I318" s="125"/>
      <c r="J318" s="129"/>
    </row>
    <row r="319" spans="1:10" s="127" customFormat="1" ht="14.5" customHeight="1">
      <c r="A319" s="128"/>
      <c r="B319" s="130"/>
      <c r="C319" s="125"/>
      <c r="D319" s="124"/>
      <c r="E319" s="125"/>
      <c r="F319" s="125"/>
      <c r="G319" s="125"/>
      <c r="H319" s="125"/>
      <c r="I319" s="125"/>
      <c r="J319" s="129"/>
    </row>
    <row r="320" spans="1:10" s="127" customFormat="1" ht="14.5" customHeight="1">
      <c r="A320" s="128"/>
      <c r="B320" s="130"/>
      <c r="C320" s="125"/>
      <c r="D320" s="124"/>
      <c r="E320" s="125"/>
      <c r="F320" s="125"/>
      <c r="G320" s="125"/>
      <c r="H320" s="125"/>
      <c r="I320" s="125"/>
      <c r="J320" s="129"/>
    </row>
    <row r="321" spans="1:10" s="127" customFormat="1" ht="14.5" customHeight="1">
      <c r="A321" s="128"/>
      <c r="B321" s="130"/>
      <c r="C321" s="125"/>
      <c r="D321" s="124"/>
      <c r="E321" s="125"/>
      <c r="F321" s="125"/>
      <c r="G321" s="125"/>
      <c r="H321" s="125"/>
      <c r="I321" s="125"/>
      <c r="J321" s="129"/>
    </row>
    <row r="322" spans="1:10" s="127" customFormat="1" ht="14.5" customHeight="1">
      <c r="A322" s="128"/>
      <c r="B322" s="130"/>
      <c r="C322" s="125"/>
      <c r="D322" s="124"/>
      <c r="E322" s="125"/>
      <c r="F322" s="125"/>
      <c r="G322" s="125"/>
      <c r="H322" s="125"/>
      <c r="I322" s="125"/>
      <c r="J322" s="129"/>
    </row>
    <row r="323" spans="1:10" s="127" customFormat="1" ht="14.5" customHeight="1">
      <c r="A323" s="128"/>
      <c r="B323" s="130"/>
      <c r="C323" s="125"/>
      <c r="D323" s="124"/>
      <c r="E323" s="125"/>
      <c r="F323" s="125"/>
      <c r="G323" s="125"/>
      <c r="H323" s="125"/>
      <c r="I323" s="125"/>
      <c r="J323" s="126"/>
    </row>
    <row r="324" spans="1:10" s="127" customFormat="1" ht="14.5" customHeight="1">
      <c r="A324" s="128"/>
      <c r="B324" s="130"/>
      <c r="C324" s="125"/>
      <c r="D324" s="124"/>
      <c r="E324" s="125"/>
      <c r="F324" s="125"/>
      <c r="G324" s="125"/>
      <c r="H324" s="125"/>
      <c r="I324" s="125"/>
      <c r="J324" s="126"/>
    </row>
    <row r="325" spans="1:10" s="127" customFormat="1" ht="14.5" customHeight="1">
      <c r="A325" s="128"/>
      <c r="B325" s="130"/>
      <c r="C325" s="125"/>
      <c r="D325" s="124"/>
      <c r="E325" s="125"/>
      <c r="F325" s="125"/>
      <c r="G325" s="125"/>
      <c r="H325" s="125"/>
      <c r="I325" s="125"/>
      <c r="J325" s="126"/>
    </row>
    <row r="326" spans="1:10" s="127" customFormat="1" ht="14.5" customHeight="1">
      <c r="A326" s="131"/>
      <c r="B326" s="130"/>
      <c r="C326" s="125"/>
      <c r="D326" s="124"/>
      <c r="E326" s="125"/>
      <c r="F326" s="125"/>
      <c r="G326" s="125"/>
      <c r="H326" s="125"/>
      <c r="I326" s="125"/>
      <c r="J326" s="126"/>
    </row>
    <row r="327" spans="1:10" s="127" customFormat="1" ht="14.5" customHeight="1">
      <c r="A327" s="131"/>
      <c r="B327" s="130"/>
      <c r="C327" s="125"/>
      <c r="D327" s="124"/>
      <c r="E327" s="125"/>
      <c r="F327" s="125"/>
      <c r="G327" s="125"/>
      <c r="H327" s="125"/>
      <c r="I327" s="125"/>
      <c r="J327" s="126"/>
    </row>
    <row r="328" spans="1:10" s="127" customFormat="1" ht="14.5" customHeight="1">
      <c r="A328" s="128"/>
      <c r="B328" s="130"/>
      <c r="C328" s="125"/>
      <c r="D328" s="124"/>
      <c r="E328" s="125"/>
      <c r="F328" s="125"/>
      <c r="G328" s="125"/>
      <c r="H328" s="125"/>
      <c r="I328" s="125"/>
      <c r="J328" s="129"/>
    </row>
    <row r="329" spans="1:10" s="127" customFormat="1" ht="14.5" customHeight="1">
      <c r="A329" s="128"/>
      <c r="B329" s="130"/>
      <c r="C329" s="123"/>
      <c r="D329" s="124"/>
      <c r="E329" s="125"/>
      <c r="F329" s="125"/>
      <c r="G329" s="125"/>
      <c r="H329" s="125"/>
      <c r="I329" s="125"/>
      <c r="J329" s="129"/>
    </row>
    <row r="330" spans="1:10" s="127" customFormat="1" ht="14.5" customHeight="1">
      <c r="A330" s="128"/>
      <c r="B330" s="132"/>
      <c r="C330" s="123"/>
      <c r="D330" s="124"/>
      <c r="E330" s="125"/>
      <c r="F330" s="125"/>
      <c r="G330" s="125"/>
      <c r="H330" s="125"/>
      <c r="I330" s="125"/>
      <c r="J330" s="126"/>
    </row>
    <row r="331" spans="1:10" s="127" customFormat="1" ht="14.5" customHeight="1">
      <c r="A331" s="128"/>
      <c r="B331" s="128"/>
      <c r="C331" s="124"/>
      <c r="D331" s="124"/>
      <c r="E331" s="125"/>
      <c r="F331" s="125"/>
      <c r="G331" s="125"/>
      <c r="H331" s="125"/>
      <c r="I331" s="125"/>
      <c r="J331" s="129"/>
    </row>
    <row r="332" spans="1:10" s="127" customFormat="1" ht="14.5" customHeight="1">
      <c r="A332" s="128"/>
      <c r="B332" s="132"/>
      <c r="C332" s="123"/>
      <c r="D332" s="124"/>
      <c r="E332" s="125"/>
      <c r="F332" s="125"/>
      <c r="G332" s="125"/>
      <c r="H332" s="125"/>
      <c r="I332" s="125"/>
      <c r="J332" s="129"/>
    </row>
    <row r="333" spans="1:10" s="127" customFormat="1" ht="14.5" customHeight="1">
      <c r="A333" s="128"/>
      <c r="B333" s="132"/>
      <c r="C333" s="123"/>
      <c r="D333" s="124"/>
      <c r="E333" s="125"/>
      <c r="F333" s="125"/>
      <c r="G333" s="125"/>
      <c r="H333" s="125"/>
      <c r="I333" s="125"/>
      <c r="J333" s="129"/>
    </row>
    <row r="334" spans="1:10" s="127" customFormat="1" ht="14.5" customHeight="1">
      <c r="A334" s="128"/>
      <c r="B334" s="132"/>
      <c r="C334" s="123"/>
      <c r="D334" s="124"/>
      <c r="E334" s="125"/>
      <c r="F334" s="125"/>
      <c r="G334" s="125"/>
      <c r="H334" s="125"/>
      <c r="I334" s="125"/>
      <c r="J334" s="129"/>
    </row>
    <row r="335" spans="1:10" s="127" customFormat="1" ht="14.5" customHeight="1">
      <c r="A335" s="128"/>
      <c r="B335" s="132"/>
      <c r="C335" s="123"/>
      <c r="D335" s="124"/>
      <c r="E335" s="125"/>
      <c r="F335" s="125"/>
      <c r="G335" s="125"/>
      <c r="H335" s="125"/>
      <c r="I335" s="125"/>
      <c r="J335" s="129"/>
    </row>
    <row r="336" spans="1:10" s="127" customFormat="1" ht="14.5" customHeight="1">
      <c r="A336" s="128"/>
      <c r="B336" s="132"/>
      <c r="C336" s="123"/>
      <c r="D336" s="124"/>
      <c r="E336" s="125"/>
      <c r="F336" s="125"/>
      <c r="G336" s="125"/>
      <c r="H336" s="125"/>
      <c r="I336" s="125"/>
      <c r="J336" s="129"/>
    </row>
    <row r="337" spans="1:10" s="127" customFormat="1" ht="14.5" customHeight="1">
      <c r="A337" s="128"/>
      <c r="B337" s="132"/>
      <c r="C337" s="123"/>
      <c r="D337" s="124"/>
      <c r="E337" s="125"/>
      <c r="F337" s="125"/>
      <c r="G337" s="125"/>
      <c r="H337" s="125"/>
      <c r="I337" s="125"/>
      <c r="J337" s="129"/>
    </row>
    <row r="338" spans="1:10" s="127" customFormat="1" ht="14.5" customHeight="1">
      <c r="A338" s="128"/>
      <c r="B338" s="132"/>
      <c r="C338" s="123"/>
      <c r="D338" s="124"/>
      <c r="E338" s="125"/>
      <c r="F338" s="125"/>
      <c r="G338" s="125"/>
      <c r="H338" s="125"/>
      <c r="I338" s="125"/>
      <c r="J338" s="129"/>
    </row>
    <row r="339" spans="1:10" s="127" customFormat="1" ht="14.5" customHeight="1">
      <c r="A339" s="128"/>
      <c r="B339" s="132"/>
      <c r="C339" s="123"/>
      <c r="D339" s="124"/>
      <c r="E339" s="125"/>
      <c r="F339" s="125"/>
      <c r="G339" s="125"/>
      <c r="H339" s="125"/>
      <c r="I339" s="125"/>
      <c r="J339" s="129"/>
    </row>
    <row r="340" spans="1:10" s="127" customFormat="1" ht="14.5" customHeight="1">
      <c r="A340" s="128"/>
      <c r="B340" s="132"/>
      <c r="C340" s="123"/>
      <c r="D340" s="124"/>
      <c r="E340" s="125"/>
      <c r="F340" s="125"/>
      <c r="G340" s="125"/>
      <c r="H340" s="125"/>
      <c r="I340" s="125"/>
      <c r="J340" s="129"/>
    </row>
    <row r="341" spans="1:10" s="127" customFormat="1" ht="14.5" customHeight="1">
      <c r="A341" s="128"/>
      <c r="B341" s="132"/>
      <c r="C341" s="123"/>
      <c r="D341" s="124"/>
      <c r="E341" s="125"/>
      <c r="F341" s="125"/>
      <c r="G341" s="125"/>
      <c r="H341" s="125"/>
      <c r="I341" s="125"/>
      <c r="J341" s="129"/>
    </row>
    <row r="342" spans="1:10" s="127" customFormat="1" ht="14.5" customHeight="1">
      <c r="A342" s="128"/>
      <c r="B342" s="128"/>
      <c r="C342" s="124"/>
      <c r="D342" s="124"/>
      <c r="E342" s="125"/>
      <c r="F342" s="125"/>
      <c r="G342" s="125"/>
      <c r="H342" s="125"/>
      <c r="I342" s="125"/>
      <c r="J342" s="129"/>
    </row>
    <row r="343" spans="1:10" s="127" customFormat="1" ht="14.5" customHeight="1">
      <c r="A343" s="128"/>
      <c r="B343" s="130"/>
      <c r="C343" s="123"/>
      <c r="D343" s="124"/>
      <c r="E343" s="133"/>
      <c r="F343" s="125"/>
      <c r="G343" s="125"/>
      <c r="H343" s="125"/>
      <c r="I343" s="125"/>
      <c r="J343" s="126"/>
    </row>
    <row r="344" spans="1:10" s="127" customFormat="1" ht="14.5" customHeight="1">
      <c r="A344" s="131"/>
      <c r="B344" s="129"/>
      <c r="C344" s="142"/>
      <c r="D344" s="142"/>
      <c r="E344" s="143"/>
      <c r="F344" s="143"/>
      <c r="G344" s="143"/>
      <c r="H344" s="143"/>
      <c r="I344" s="143"/>
      <c r="J344" s="129"/>
    </row>
  </sheetData>
  <mergeCells count="7">
    <mergeCell ref="I2:J2"/>
    <mergeCell ref="J5:J6"/>
    <mergeCell ref="E5:F5"/>
    <mergeCell ref="G5:H5"/>
    <mergeCell ref="B5:B6"/>
    <mergeCell ref="C5:C6"/>
    <mergeCell ref="D5:D6"/>
  </mergeCells>
  <pageMargins left="0.70866141732283505" right="0.70866141732283505" top="0.31496062992126" bottom="0.2" header="0.31496062992126" footer="0.31496062992126"/>
  <pageSetup paperSize="9" orientation="landscape" horizontalDpi="4294967293" r:id="rId1"/>
  <headerFooter>
    <oddHeader xml:space="preserve">&amp;R&amp;"TH SarabunPSK,ตัวหนา"&amp;14ปร.4  หน้าที่ &amp;P/10
</oddHead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H465"/>
  <sheetViews>
    <sheetView view="pageBreakPreview" zoomScaleNormal="100" zoomScaleSheetLayoutView="100" workbookViewId="0">
      <selection activeCell="H251" sqref="H251"/>
    </sheetView>
  </sheetViews>
  <sheetFormatPr defaultColWidth="8.81640625" defaultRowHeight="19.899999999999999" customHeight="1"/>
  <cols>
    <col min="1" max="1" width="4.26953125" style="58" customWidth="1"/>
    <col min="2" max="2" width="59" style="59" customWidth="1"/>
    <col min="3" max="3" width="7.26953125" style="59" customWidth="1"/>
    <col min="4" max="4" width="5.1796875" style="60" customWidth="1"/>
    <col min="5" max="5" width="9.7265625" style="59" customWidth="1"/>
    <col min="6" max="6" width="9.1796875" style="59" customWidth="1"/>
    <col min="7" max="7" width="9.453125" style="59" customWidth="1"/>
    <col min="8" max="8" width="9.7265625" style="59" customWidth="1"/>
    <col min="9" max="16384" width="8.81640625" style="59"/>
  </cols>
  <sheetData>
    <row r="1" spans="1:8" ht="12" customHeight="1"/>
    <row r="2" spans="1:8" ht="16.149999999999999" customHeight="1">
      <c r="B2" s="156" t="s">
        <v>192</v>
      </c>
      <c r="C2" s="156"/>
      <c r="D2" s="156"/>
      <c r="E2" s="156"/>
      <c r="F2" s="156"/>
      <c r="G2" s="156"/>
    </row>
    <row r="3" spans="1:8" ht="7.9" customHeight="1">
      <c r="B3" s="61"/>
      <c r="C3" s="61"/>
      <c r="D3" s="61"/>
      <c r="E3" s="61"/>
      <c r="F3" s="61"/>
      <c r="G3" s="61"/>
    </row>
    <row r="4" spans="1:8" ht="16.149999999999999" customHeight="1">
      <c r="A4" s="62">
        <v>1</v>
      </c>
      <c r="B4" s="63" t="s">
        <v>262</v>
      </c>
      <c r="C4" s="64"/>
      <c r="D4" s="65"/>
      <c r="E4" s="65"/>
      <c r="F4" s="65" t="s">
        <v>286</v>
      </c>
      <c r="G4" s="66"/>
      <c r="H4" s="67"/>
    </row>
    <row r="5" spans="1:8" ht="16.149999999999999" customHeight="1">
      <c r="A5" s="68">
        <v>1.1000000000000001</v>
      </c>
      <c r="B5" s="69" t="s">
        <v>193</v>
      </c>
      <c r="C5" s="70" t="s">
        <v>84</v>
      </c>
      <c r="D5" s="70" t="s">
        <v>6</v>
      </c>
      <c r="E5" s="70" t="s">
        <v>251</v>
      </c>
      <c r="F5" s="71" t="s">
        <v>92</v>
      </c>
      <c r="G5" s="70" t="s">
        <v>251</v>
      </c>
      <c r="H5" s="70" t="s">
        <v>221</v>
      </c>
    </row>
    <row r="6" spans="1:8" ht="16.149999999999999" customHeight="1">
      <c r="A6" s="68"/>
      <c r="B6" s="69" t="s">
        <v>207</v>
      </c>
      <c r="C6" s="69">
        <v>260</v>
      </c>
      <c r="D6" s="70" t="s">
        <v>20</v>
      </c>
      <c r="E6" s="72">
        <v>2.673</v>
      </c>
      <c r="F6" s="73">
        <f>C6*E6</f>
        <v>694.98</v>
      </c>
      <c r="G6" s="69"/>
      <c r="H6" s="69"/>
    </row>
    <row r="7" spans="1:8" ht="16.149999999999999" customHeight="1">
      <c r="A7" s="68"/>
      <c r="B7" s="69" t="s">
        <v>57</v>
      </c>
      <c r="C7" s="69">
        <v>0.62</v>
      </c>
      <c r="D7" s="70" t="s">
        <v>58</v>
      </c>
      <c r="E7" s="74">
        <v>508.33</v>
      </c>
      <c r="F7" s="73">
        <f>C7*E7</f>
        <v>315.16460000000001</v>
      </c>
      <c r="G7" s="69"/>
      <c r="H7" s="69"/>
    </row>
    <row r="8" spans="1:8" ht="16.149999999999999" customHeight="1">
      <c r="A8" s="68"/>
      <c r="B8" s="69" t="s">
        <v>60</v>
      </c>
      <c r="C8" s="69">
        <v>1.03</v>
      </c>
      <c r="D8" s="70" t="s">
        <v>58</v>
      </c>
      <c r="E8" s="74">
        <f>620+593.33/2</f>
        <v>916.66499999999996</v>
      </c>
      <c r="F8" s="69">
        <f>C8*E8</f>
        <v>944.16494999999998</v>
      </c>
      <c r="G8" s="69"/>
      <c r="H8" s="69"/>
    </row>
    <row r="9" spans="1:8" ht="16.149999999999999" customHeight="1">
      <c r="A9" s="68"/>
      <c r="B9" s="69" t="s">
        <v>61</v>
      </c>
      <c r="C9" s="69">
        <v>180</v>
      </c>
      <c r="D9" s="70" t="s">
        <v>62</v>
      </c>
      <c r="E9" s="72">
        <f>16.4/1000</f>
        <v>1.6399999999999998E-2</v>
      </c>
      <c r="F9" s="69">
        <f>C9*E9</f>
        <v>2.9519999999999995</v>
      </c>
      <c r="G9" s="69"/>
      <c r="H9" s="69"/>
    </row>
    <row r="10" spans="1:8" ht="16.149999999999999" customHeight="1">
      <c r="A10" s="68"/>
      <c r="B10" s="69"/>
      <c r="C10" s="69"/>
      <c r="D10" s="70"/>
      <c r="E10" s="69"/>
      <c r="F10" s="75">
        <f>SUM(F6:F9)</f>
        <v>1957.2615499999999</v>
      </c>
      <c r="G10" s="69"/>
      <c r="H10" s="69"/>
    </row>
    <row r="11" spans="1:8" ht="16.149999999999999" customHeight="1">
      <c r="A11" s="62">
        <v>2</v>
      </c>
      <c r="B11" s="63" t="s">
        <v>99</v>
      </c>
      <c r="C11" s="69"/>
      <c r="D11" s="70"/>
      <c r="E11" s="69"/>
      <c r="F11" s="69"/>
      <c r="G11" s="69"/>
      <c r="H11" s="69"/>
    </row>
    <row r="12" spans="1:8" ht="16.149999999999999" customHeight="1">
      <c r="A12" s="68">
        <v>2.1</v>
      </c>
      <c r="B12" s="69" t="s">
        <v>194</v>
      </c>
      <c r="C12" s="70" t="s">
        <v>84</v>
      </c>
      <c r="D12" s="70" t="s">
        <v>6</v>
      </c>
      <c r="E12" s="70" t="s">
        <v>251</v>
      </c>
      <c r="F12" s="71" t="s">
        <v>92</v>
      </c>
      <c r="G12" s="70" t="s">
        <v>251</v>
      </c>
      <c r="H12" s="70" t="s">
        <v>221</v>
      </c>
    </row>
    <row r="13" spans="1:8" ht="16.149999999999999" customHeight="1">
      <c r="A13" s="68"/>
      <c r="B13" s="69" t="s">
        <v>207</v>
      </c>
      <c r="C13" s="69">
        <v>342</v>
      </c>
      <c r="D13" s="70" t="s">
        <v>20</v>
      </c>
      <c r="E13" s="76">
        <f>E6</f>
        <v>2.673</v>
      </c>
      <c r="F13" s="73">
        <f>C13*E13</f>
        <v>914.16600000000005</v>
      </c>
      <c r="G13" s="69"/>
      <c r="H13" s="69"/>
    </row>
    <row r="14" spans="1:8" ht="16.149999999999999" customHeight="1">
      <c r="A14" s="68"/>
      <c r="B14" s="69" t="s">
        <v>57</v>
      </c>
      <c r="C14" s="69">
        <v>0.56999999999999995</v>
      </c>
      <c r="D14" s="70" t="s">
        <v>58</v>
      </c>
      <c r="E14" s="77">
        <f>E7</f>
        <v>508.33</v>
      </c>
      <c r="F14" s="73">
        <f>C14*E14</f>
        <v>289.74809999999997</v>
      </c>
      <c r="G14" s="69"/>
      <c r="H14" s="69"/>
    </row>
    <row r="15" spans="1:8" ht="16.149999999999999" customHeight="1">
      <c r="A15" s="68"/>
      <c r="B15" s="69" t="s">
        <v>60</v>
      </c>
      <c r="C15" s="69">
        <v>1.0900000000000001</v>
      </c>
      <c r="D15" s="70" t="s">
        <v>58</v>
      </c>
      <c r="E15" s="77">
        <f>E8</f>
        <v>916.66499999999996</v>
      </c>
      <c r="F15" s="69">
        <f>C15*E15</f>
        <v>999.16485</v>
      </c>
      <c r="G15" s="69"/>
      <c r="H15" s="69"/>
    </row>
    <row r="16" spans="1:8" ht="16.149999999999999" customHeight="1">
      <c r="A16" s="68"/>
      <c r="B16" s="69" t="s">
        <v>61</v>
      </c>
      <c r="C16" s="69">
        <v>180</v>
      </c>
      <c r="D16" s="70" t="s">
        <v>62</v>
      </c>
      <c r="E16" s="78">
        <f>E9</f>
        <v>1.6399999999999998E-2</v>
      </c>
      <c r="F16" s="69">
        <f>C16*E16</f>
        <v>2.9519999999999995</v>
      </c>
      <c r="G16" s="69"/>
      <c r="H16" s="69"/>
    </row>
    <row r="17" spans="1:8" ht="16.149999999999999" customHeight="1">
      <c r="A17" s="68" t="s">
        <v>1</v>
      </c>
      <c r="B17" s="69"/>
      <c r="C17" s="69"/>
      <c r="D17" s="70"/>
      <c r="E17" s="69"/>
      <c r="F17" s="75">
        <f>SUM(F13:F16)</f>
        <v>2206.0309500000003</v>
      </c>
      <c r="G17" s="69"/>
      <c r="H17" s="69"/>
    </row>
    <row r="18" spans="1:8" ht="12" customHeight="1">
      <c r="A18" s="68"/>
      <c r="B18" s="69"/>
      <c r="C18" s="69"/>
      <c r="D18" s="70"/>
      <c r="E18" s="69"/>
      <c r="F18" s="75"/>
      <c r="G18" s="69"/>
      <c r="H18" s="69"/>
    </row>
    <row r="19" spans="1:8" ht="16.149999999999999" customHeight="1">
      <c r="A19" s="68">
        <v>2.2000000000000002</v>
      </c>
      <c r="B19" s="79" t="s">
        <v>379</v>
      </c>
      <c r="C19" s="80" t="s">
        <v>84</v>
      </c>
      <c r="D19" s="70" t="s">
        <v>6</v>
      </c>
      <c r="E19" s="70" t="s">
        <v>251</v>
      </c>
      <c r="F19" s="81" t="s">
        <v>263</v>
      </c>
      <c r="G19" s="81" t="s">
        <v>264</v>
      </c>
      <c r="H19" s="81" t="s">
        <v>265</v>
      </c>
    </row>
    <row r="20" spans="1:8" ht="16.149999999999999" customHeight="1">
      <c r="A20" s="68"/>
      <c r="B20" s="69" t="s">
        <v>380</v>
      </c>
      <c r="C20" s="73">
        <v>0.5</v>
      </c>
      <c r="D20" s="70" t="s">
        <v>70</v>
      </c>
      <c r="E20" s="74">
        <f>(467.29+467.29+467.29)/3</f>
        <v>467.29</v>
      </c>
      <c r="F20" s="73">
        <f>C20*E20</f>
        <v>233.64500000000001</v>
      </c>
      <c r="G20" s="73">
        <f>E20*0.6</f>
        <v>280.37400000000002</v>
      </c>
      <c r="H20" s="73">
        <f>E20*0.8</f>
        <v>373.83200000000005</v>
      </c>
    </row>
    <row r="21" spans="1:8" ht="16.149999999999999" customHeight="1">
      <c r="A21" s="68"/>
      <c r="B21" s="69" t="s">
        <v>541</v>
      </c>
      <c r="C21" s="69">
        <v>0.15</v>
      </c>
      <c r="D21" s="70" t="s">
        <v>70</v>
      </c>
      <c r="E21" s="74">
        <f>(691.59+691.59+542.06)/3</f>
        <v>641.74666666666667</v>
      </c>
      <c r="F21" s="73">
        <f>C21*E21</f>
        <v>96.262</v>
      </c>
      <c r="G21" s="73">
        <f>E21*0.18</f>
        <v>115.51439999999999</v>
      </c>
      <c r="H21" s="73">
        <f>E21*0.24</f>
        <v>154.01919999999998</v>
      </c>
    </row>
    <row r="22" spans="1:8" ht="16.149999999999999" customHeight="1">
      <c r="A22" s="68"/>
      <c r="B22" s="69" t="s">
        <v>405</v>
      </c>
      <c r="C22" s="69">
        <v>0.13</v>
      </c>
      <c r="D22" s="70" t="s">
        <v>20</v>
      </c>
      <c r="E22" s="74">
        <f>579.44/17.6</f>
        <v>32.922727272727272</v>
      </c>
      <c r="F22" s="73">
        <f>C22*E22</f>
        <v>4.2799545454545456</v>
      </c>
      <c r="G22" s="73">
        <f>E22*0.15</f>
        <v>4.938409090909091</v>
      </c>
      <c r="H22" s="73">
        <f>E22*0.2</f>
        <v>6.5845454545454549</v>
      </c>
    </row>
    <row r="23" spans="1:8" ht="16.149999999999999" customHeight="1">
      <c r="A23" s="68"/>
      <c r="B23" s="69"/>
      <c r="C23" s="69"/>
      <c r="D23" s="70"/>
      <c r="E23" s="69"/>
      <c r="F23" s="75">
        <f>SUM(F20:F22)</f>
        <v>334.18695454545457</v>
      </c>
      <c r="G23" s="75">
        <f>SUM(G20:G22)</f>
        <v>400.82680909090914</v>
      </c>
      <c r="H23" s="75">
        <f>SUM(H20:H22)</f>
        <v>534.43574545454555</v>
      </c>
    </row>
    <row r="24" spans="1:8" ht="12" customHeight="1">
      <c r="A24" s="68"/>
      <c r="B24" s="69"/>
      <c r="C24" s="69"/>
      <c r="D24" s="70"/>
      <c r="E24" s="69"/>
      <c r="F24" s="75"/>
      <c r="G24" s="75"/>
      <c r="H24" s="75"/>
    </row>
    <row r="25" spans="1:8" ht="16.149999999999999" customHeight="1">
      <c r="A25" s="68">
        <v>2.2999999999999998</v>
      </c>
      <c r="B25" s="69" t="s">
        <v>406</v>
      </c>
      <c r="C25" s="70" t="s">
        <v>84</v>
      </c>
      <c r="D25" s="70" t="s">
        <v>6</v>
      </c>
      <c r="E25" s="70" t="s">
        <v>251</v>
      </c>
      <c r="F25" s="71" t="s">
        <v>92</v>
      </c>
      <c r="G25" s="70" t="s">
        <v>251</v>
      </c>
      <c r="H25" s="70" t="s">
        <v>221</v>
      </c>
    </row>
    <row r="26" spans="1:8" ht="16.149999999999999" customHeight="1">
      <c r="A26" s="68"/>
      <c r="B26" s="69" t="s">
        <v>59</v>
      </c>
      <c r="C26" s="69">
        <v>20.02</v>
      </c>
      <c r="D26" s="70" t="s">
        <v>20</v>
      </c>
      <c r="E26" s="72">
        <v>2.6819999999999999</v>
      </c>
      <c r="F26" s="73">
        <f>C26*E26</f>
        <v>53.693639999999995</v>
      </c>
      <c r="G26" s="69"/>
      <c r="H26" s="69"/>
    </row>
    <row r="27" spans="1:8" ht="16.149999999999999" customHeight="1">
      <c r="A27" s="68"/>
      <c r="B27" s="69" t="s">
        <v>57</v>
      </c>
      <c r="C27" s="69">
        <v>0.11</v>
      </c>
      <c r="D27" s="70" t="s">
        <v>58</v>
      </c>
      <c r="E27" s="77">
        <f>E7</f>
        <v>508.33</v>
      </c>
      <c r="F27" s="73">
        <f>C27*E27</f>
        <v>55.9163</v>
      </c>
      <c r="G27" s="69"/>
      <c r="H27" s="69"/>
    </row>
    <row r="28" spans="1:8" ht="16.149999999999999" customHeight="1">
      <c r="A28" s="68"/>
      <c r="B28" s="69" t="s">
        <v>64</v>
      </c>
      <c r="C28" s="69">
        <v>6</v>
      </c>
      <c r="D28" s="70" t="s">
        <v>62</v>
      </c>
      <c r="E28" s="78">
        <f>E9</f>
        <v>1.6399999999999998E-2</v>
      </c>
      <c r="F28" s="69">
        <f>C28*E28</f>
        <v>9.8399999999999987E-2</v>
      </c>
      <c r="G28" s="69"/>
      <c r="H28" s="69"/>
    </row>
    <row r="29" spans="1:8" ht="16.149999999999999" customHeight="1">
      <c r="A29" s="68"/>
      <c r="B29" s="69"/>
      <c r="C29" s="69"/>
      <c r="D29" s="70"/>
      <c r="E29" s="69"/>
      <c r="F29" s="75">
        <f>SUM(F26:F28)</f>
        <v>109.70833999999999</v>
      </c>
      <c r="G29" s="69"/>
      <c r="H29" s="69"/>
    </row>
    <row r="30" spans="1:8" ht="12" customHeight="1">
      <c r="A30" s="68"/>
      <c r="B30" s="69"/>
      <c r="C30" s="69"/>
      <c r="D30" s="70"/>
      <c r="E30" s="69"/>
      <c r="F30" s="75"/>
      <c r="G30" s="69"/>
      <c r="H30" s="69"/>
    </row>
    <row r="31" spans="1:8" ht="16.149999999999999" customHeight="1">
      <c r="A31" s="68">
        <v>2.4</v>
      </c>
      <c r="B31" s="69" t="s">
        <v>281</v>
      </c>
      <c r="C31" s="70" t="s">
        <v>84</v>
      </c>
      <c r="D31" s="70" t="s">
        <v>6</v>
      </c>
      <c r="E31" s="70" t="s">
        <v>251</v>
      </c>
      <c r="F31" s="71" t="s">
        <v>92</v>
      </c>
      <c r="G31" s="70" t="s">
        <v>251</v>
      </c>
      <c r="H31" s="70" t="s">
        <v>221</v>
      </c>
    </row>
    <row r="32" spans="1:8" ht="16.149999999999999" customHeight="1">
      <c r="A32" s="68"/>
      <c r="B32" s="69" t="s">
        <v>207</v>
      </c>
      <c r="C32" s="69">
        <v>17</v>
      </c>
      <c r="D32" s="70" t="s">
        <v>20</v>
      </c>
      <c r="E32" s="82">
        <f>E6</f>
        <v>2.673</v>
      </c>
      <c r="F32" s="73">
        <f>C32*E32</f>
        <v>45.441000000000003</v>
      </c>
      <c r="G32" s="69"/>
      <c r="H32" s="69"/>
    </row>
    <row r="33" spans="1:8" ht="16.149999999999999" customHeight="1">
      <c r="A33" s="68"/>
      <c r="B33" s="69" t="s">
        <v>57</v>
      </c>
      <c r="C33" s="69">
        <v>0.04</v>
      </c>
      <c r="D33" s="70" t="s">
        <v>58</v>
      </c>
      <c r="E33" s="73">
        <f>E7</f>
        <v>508.33</v>
      </c>
      <c r="F33" s="73">
        <f>C33*E33</f>
        <v>20.333200000000001</v>
      </c>
      <c r="G33" s="69"/>
      <c r="H33" s="69"/>
    </row>
    <row r="34" spans="1:8" ht="16.149999999999999" customHeight="1">
      <c r="A34" s="68"/>
      <c r="B34" s="69" t="s">
        <v>60</v>
      </c>
      <c r="C34" s="69">
        <v>0.05</v>
      </c>
      <c r="D34" s="70" t="s">
        <v>58</v>
      </c>
      <c r="E34" s="73">
        <f>E8</f>
        <v>916.66499999999996</v>
      </c>
      <c r="F34" s="73">
        <f>C34*E34</f>
        <v>45.83325</v>
      </c>
      <c r="G34" s="69"/>
      <c r="H34" s="69"/>
    </row>
    <row r="35" spans="1:8" ht="16.149999999999999" customHeight="1">
      <c r="A35" s="68"/>
      <c r="B35" s="69" t="s">
        <v>61</v>
      </c>
      <c r="C35" s="69">
        <v>10</v>
      </c>
      <c r="D35" s="70" t="s">
        <v>62</v>
      </c>
      <c r="E35" s="69">
        <f>E9</f>
        <v>1.6399999999999998E-2</v>
      </c>
      <c r="F35" s="69">
        <f>C35*E35</f>
        <v>0.16399999999999998</v>
      </c>
      <c r="G35" s="69"/>
      <c r="H35" s="69"/>
    </row>
    <row r="36" spans="1:8" ht="16.149999999999999" customHeight="1">
      <c r="A36" s="68"/>
      <c r="B36" s="69"/>
      <c r="C36" s="69"/>
      <c r="D36" s="70"/>
      <c r="E36" s="69"/>
      <c r="F36" s="75">
        <f>SUM(F32:F35)</f>
        <v>111.77145</v>
      </c>
      <c r="G36" s="69"/>
      <c r="H36" s="69"/>
    </row>
    <row r="37" spans="1:8" ht="16.149999999999999" customHeight="1">
      <c r="A37" s="68">
        <v>2.5</v>
      </c>
      <c r="B37" s="69" t="s">
        <v>282</v>
      </c>
      <c r="C37" s="70" t="s">
        <v>84</v>
      </c>
      <c r="D37" s="70" t="s">
        <v>6</v>
      </c>
      <c r="E37" s="70" t="s">
        <v>251</v>
      </c>
      <c r="F37" s="71" t="s">
        <v>92</v>
      </c>
      <c r="G37" s="70" t="s">
        <v>251</v>
      </c>
      <c r="H37" s="70" t="s">
        <v>221</v>
      </c>
    </row>
    <row r="38" spans="1:8" ht="16.149999999999999" customHeight="1">
      <c r="A38" s="68"/>
      <c r="B38" s="69" t="s">
        <v>283</v>
      </c>
      <c r="C38" s="69">
        <v>1</v>
      </c>
      <c r="D38" s="70" t="s">
        <v>58</v>
      </c>
      <c r="E38" s="74">
        <v>2470.6</v>
      </c>
      <c r="F38" s="73">
        <f>E38/20</f>
        <v>123.53</v>
      </c>
      <c r="G38" s="69"/>
      <c r="H38" s="69"/>
    </row>
    <row r="39" spans="1:8" ht="16.149999999999999" customHeight="1">
      <c r="A39" s="68"/>
      <c r="B39" s="69"/>
      <c r="C39" s="69"/>
      <c r="D39" s="70"/>
      <c r="E39" s="69"/>
      <c r="F39" s="75">
        <f>F38</f>
        <v>123.53</v>
      </c>
      <c r="G39" s="69"/>
      <c r="H39" s="69"/>
    </row>
    <row r="40" spans="1:8" ht="16.149999999999999" customHeight="1">
      <c r="A40" s="62">
        <v>3</v>
      </c>
      <c r="B40" s="63" t="s">
        <v>100</v>
      </c>
      <c r="C40" s="69"/>
      <c r="D40" s="70"/>
      <c r="E40" s="69"/>
      <c r="F40" s="69"/>
      <c r="G40" s="69"/>
      <c r="H40" s="69"/>
    </row>
    <row r="41" spans="1:8" ht="16.149999999999999" customHeight="1">
      <c r="A41" s="68">
        <v>3.1</v>
      </c>
      <c r="B41" s="69" t="s">
        <v>52</v>
      </c>
      <c r="C41" s="70" t="s">
        <v>84</v>
      </c>
      <c r="D41" s="70" t="s">
        <v>6</v>
      </c>
      <c r="E41" s="70" t="s">
        <v>251</v>
      </c>
      <c r="F41" s="71" t="s">
        <v>92</v>
      </c>
      <c r="G41" s="70" t="s">
        <v>251</v>
      </c>
      <c r="H41" s="70" t="s">
        <v>221</v>
      </c>
    </row>
    <row r="42" spans="1:8" ht="16.149999999999999" customHeight="1">
      <c r="A42" s="68"/>
      <c r="B42" s="69" t="s">
        <v>53</v>
      </c>
      <c r="C42" s="69">
        <v>0.04</v>
      </c>
      <c r="D42" s="70" t="s">
        <v>44</v>
      </c>
      <c r="E42" s="74">
        <v>378.5</v>
      </c>
      <c r="F42" s="73">
        <f>C42*E42</f>
        <v>15.14</v>
      </c>
      <c r="G42" s="83" t="s">
        <v>404</v>
      </c>
      <c r="H42" s="69"/>
    </row>
    <row r="43" spans="1:8" ht="16.149999999999999" customHeight="1">
      <c r="A43" s="68"/>
      <c r="B43" s="69" t="s">
        <v>54</v>
      </c>
      <c r="C43" s="69">
        <v>0.06</v>
      </c>
      <c r="D43" s="70" t="s">
        <v>44</v>
      </c>
      <c r="E43" s="74">
        <v>668.22</v>
      </c>
      <c r="F43" s="73">
        <f>C43*E43</f>
        <v>40.093200000000003</v>
      </c>
      <c r="G43" s="83"/>
      <c r="H43" s="69"/>
    </row>
    <row r="44" spans="1:8" ht="16.149999999999999" customHeight="1">
      <c r="A44" s="68"/>
      <c r="B44" s="69" t="s">
        <v>209</v>
      </c>
      <c r="C44" s="69">
        <v>0.01</v>
      </c>
      <c r="D44" s="70" t="s">
        <v>44</v>
      </c>
      <c r="E44" s="74">
        <v>270</v>
      </c>
      <c r="F44" s="73">
        <f>C44*E44</f>
        <v>2.7</v>
      </c>
      <c r="G44" s="69"/>
      <c r="H44" s="69"/>
    </row>
    <row r="45" spans="1:8" ht="16.149999999999999" customHeight="1">
      <c r="A45" s="68"/>
      <c r="B45" s="69"/>
      <c r="C45" s="69"/>
      <c r="D45" s="70"/>
      <c r="E45" s="69"/>
      <c r="F45" s="75">
        <f>SUM(F42:F44)</f>
        <v>57.933200000000006</v>
      </c>
      <c r="G45" s="69"/>
      <c r="H45" s="69"/>
    </row>
    <row r="46" spans="1:8" ht="16.149999999999999" customHeight="1">
      <c r="A46" s="68">
        <v>3.2</v>
      </c>
      <c r="B46" s="69" t="s">
        <v>272</v>
      </c>
      <c r="C46" s="69"/>
      <c r="D46" s="70"/>
      <c r="E46" s="70" t="s">
        <v>251</v>
      </c>
      <c r="F46" s="84"/>
      <c r="G46" s="69"/>
      <c r="H46" s="69"/>
    </row>
    <row r="47" spans="1:8" ht="16.149999999999999" customHeight="1">
      <c r="A47" s="68"/>
      <c r="B47" s="69" t="s">
        <v>285</v>
      </c>
      <c r="C47" s="73">
        <f>(0.3+0.12)*59.2</f>
        <v>24.864000000000001</v>
      </c>
      <c r="D47" s="70" t="s">
        <v>19</v>
      </c>
      <c r="E47" s="77">
        <f>F23*0.1</f>
        <v>33.418695454545457</v>
      </c>
      <c r="F47" s="73">
        <f t="shared" ref="F47" si="0">C47*E47</f>
        <v>830.92244378181829</v>
      </c>
      <c r="G47" s="73">
        <v>133</v>
      </c>
      <c r="H47" s="73">
        <f>C47*G47</f>
        <v>3306.9120000000003</v>
      </c>
    </row>
    <row r="48" spans="1:8" ht="16.149999999999999" customHeight="1">
      <c r="A48" s="68"/>
      <c r="B48" s="69" t="s">
        <v>85</v>
      </c>
      <c r="C48" s="73">
        <f>0.12*0.3*59.2</f>
        <v>2.1311999999999998</v>
      </c>
      <c r="D48" s="70" t="s">
        <v>58</v>
      </c>
      <c r="E48" s="74">
        <f>E38</f>
        <v>2470.6</v>
      </c>
      <c r="F48" s="73">
        <f>C48*E48</f>
        <v>5265.3427199999996</v>
      </c>
      <c r="G48" s="73">
        <v>485</v>
      </c>
      <c r="H48" s="73">
        <f t="shared" ref="H48:H50" si="1">C48*G48</f>
        <v>1033.6319999999998</v>
      </c>
    </row>
    <row r="49" spans="1:8" ht="16.149999999999999" customHeight="1">
      <c r="A49" s="68"/>
      <c r="B49" s="69" t="s">
        <v>259</v>
      </c>
      <c r="C49" s="73">
        <f>((0.3/0.25)+1)*59.2*0.222*1.05</f>
        <v>30.358944000000005</v>
      </c>
      <c r="D49" s="70" t="s">
        <v>20</v>
      </c>
      <c r="E49" s="74">
        <v>22.25</v>
      </c>
      <c r="F49" s="73">
        <f t="shared" ref="F49:F52" si="2">C49*E49</f>
        <v>675.48650400000008</v>
      </c>
      <c r="G49" s="73">
        <v>4.0999999999999996</v>
      </c>
      <c r="H49" s="73">
        <f t="shared" si="1"/>
        <v>124.47167040000001</v>
      </c>
    </row>
    <row r="50" spans="1:8" ht="16.149999999999999" customHeight="1">
      <c r="A50" s="68"/>
      <c r="B50" s="69" t="s">
        <v>260</v>
      </c>
      <c r="C50" s="73">
        <f>((59.2/0.2)+1)*0.45*0.499*1.07</f>
        <v>71.359744500000005</v>
      </c>
      <c r="D50" s="70" t="s">
        <v>20</v>
      </c>
      <c r="E50" s="74">
        <v>21.5</v>
      </c>
      <c r="F50" s="73">
        <f t="shared" si="2"/>
        <v>1534.23450675</v>
      </c>
      <c r="G50" s="73">
        <v>4.0999999999999996</v>
      </c>
      <c r="H50" s="73">
        <f t="shared" si="1"/>
        <v>292.57495245000001</v>
      </c>
    </row>
    <row r="51" spans="1:8" ht="16.149999999999999" customHeight="1">
      <c r="A51" s="68"/>
      <c r="B51" s="69" t="s">
        <v>66</v>
      </c>
      <c r="C51" s="73">
        <f>SUM(C49:C50)/1000*30</f>
        <v>3.0515606550000003</v>
      </c>
      <c r="D51" s="70" t="s">
        <v>20</v>
      </c>
      <c r="E51" s="72">
        <v>25.83</v>
      </c>
      <c r="F51" s="73">
        <f t="shared" si="2"/>
        <v>78.821811718649997</v>
      </c>
      <c r="G51" s="69"/>
      <c r="H51" s="69"/>
    </row>
    <row r="52" spans="1:8" ht="16.149999999999999" customHeight="1">
      <c r="A52" s="68"/>
      <c r="B52" s="69" t="s">
        <v>226</v>
      </c>
      <c r="C52" s="73">
        <f>59.2*(0.3+0.15)</f>
        <v>26.639999999999997</v>
      </c>
      <c r="D52" s="70" t="s">
        <v>19</v>
      </c>
      <c r="E52" s="77">
        <f>F102</f>
        <v>93.187299999999993</v>
      </c>
      <c r="F52" s="73">
        <f t="shared" si="2"/>
        <v>2482.5096719999997</v>
      </c>
      <c r="G52" s="73">
        <v>100</v>
      </c>
      <c r="H52" s="73">
        <f t="shared" ref="H52" si="3">C52*G52</f>
        <v>2663.9999999999995</v>
      </c>
    </row>
    <row r="53" spans="1:8" ht="16.149999999999999" customHeight="1">
      <c r="A53" s="68"/>
      <c r="B53" s="69"/>
      <c r="C53" s="69"/>
      <c r="D53" s="70"/>
      <c r="E53" s="69"/>
      <c r="F53" s="73">
        <f>SUM(F47:F52)</f>
        <v>10867.317658250469</v>
      </c>
      <c r="G53" s="69"/>
      <c r="H53" s="73">
        <f>SUM(H47:H52)</f>
        <v>7421.5906228499989</v>
      </c>
    </row>
    <row r="54" spans="1:8" ht="16.149999999999999" customHeight="1">
      <c r="A54" s="68"/>
      <c r="B54" s="69"/>
      <c r="C54" s="69"/>
      <c r="D54" s="70"/>
      <c r="E54" s="69"/>
      <c r="F54" s="85">
        <f>F53/59.2</f>
        <v>183.56955503801467</v>
      </c>
      <c r="G54" s="69"/>
      <c r="H54" s="85">
        <f>H53/59.2</f>
        <v>125.36470646706078</v>
      </c>
    </row>
    <row r="55" spans="1:8" ht="16.149999999999999" customHeight="1">
      <c r="A55" s="62">
        <v>4</v>
      </c>
      <c r="B55" s="63" t="s">
        <v>101</v>
      </c>
      <c r="C55" s="69"/>
      <c r="D55" s="70"/>
      <c r="E55" s="69"/>
      <c r="F55" s="69"/>
      <c r="G55" s="69"/>
      <c r="H55" s="69"/>
    </row>
    <row r="56" spans="1:8" ht="16.149999999999999" customHeight="1">
      <c r="A56" s="68">
        <v>4.0999999999999996</v>
      </c>
      <c r="B56" s="69" t="s">
        <v>314</v>
      </c>
      <c r="C56" s="69"/>
      <c r="D56" s="70"/>
      <c r="E56" s="86" t="s">
        <v>287</v>
      </c>
      <c r="F56" s="86" t="s">
        <v>288</v>
      </c>
      <c r="G56" s="69"/>
      <c r="H56" s="69"/>
    </row>
    <row r="57" spans="1:8" ht="16.149999999999999" customHeight="1">
      <c r="A57" s="68"/>
      <c r="B57" s="69"/>
      <c r="C57" s="70" t="s">
        <v>84</v>
      </c>
      <c r="D57" s="70" t="s">
        <v>6</v>
      </c>
      <c r="E57" s="70" t="s">
        <v>251</v>
      </c>
      <c r="F57" s="71" t="s">
        <v>92</v>
      </c>
      <c r="G57" s="70" t="s">
        <v>251</v>
      </c>
      <c r="H57" s="70" t="s">
        <v>221</v>
      </c>
    </row>
    <row r="58" spans="1:8" ht="16.149999999999999" customHeight="1">
      <c r="A58" s="68"/>
      <c r="B58" s="69" t="s">
        <v>28</v>
      </c>
      <c r="C58" s="73">
        <v>0.8</v>
      </c>
      <c r="D58" s="70" t="s">
        <v>29</v>
      </c>
      <c r="E58" s="73">
        <v>98</v>
      </c>
      <c r="F58" s="73">
        <f t="shared" ref="F58:F71" si="4">C58*E58</f>
        <v>78.400000000000006</v>
      </c>
      <c r="G58" s="69"/>
      <c r="H58" s="69"/>
    </row>
    <row r="59" spans="1:8" ht="16.149999999999999" customHeight="1">
      <c r="A59" s="68"/>
      <c r="B59" s="69" t="s">
        <v>30</v>
      </c>
      <c r="C59" s="69">
        <v>0.62</v>
      </c>
      <c r="D59" s="70" t="s">
        <v>26</v>
      </c>
      <c r="E59" s="73">
        <v>5.5</v>
      </c>
      <c r="F59" s="69">
        <f t="shared" si="4"/>
        <v>3.41</v>
      </c>
      <c r="G59" s="69"/>
      <c r="H59" s="69"/>
    </row>
    <row r="60" spans="1:8" ht="16.149999999999999" customHeight="1">
      <c r="A60" s="68"/>
      <c r="B60" s="69" t="s">
        <v>31</v>
      </c>
      <c r="C60" s="69">
        <v>0.15</v>
      </c>
      <c r="D60" s="70" t="s">
        <v>29</v>
      </c>
      <c r="E60" s="73">
        <v>36</v>
      </c>
      <c r="F60" s="73">
        <f t="shared" si="4"/>
        <v>5.3999999999999995</v>
      </c>
      <c r="G60" s="69"/>
      <c r="H60" s="69"/>
    </row>
    <row r="61" spans="1:8" ht="16.149999999999999" customHeight="1">
      <c r="A61" s="68"/>
      <c r="B61" s="69" t="s">
        <v>315</v>
      </c>
      <c r="C61" s="69">
        <v>1.55</v>
      </c>
      <c r="D61" s="70" t="s">
        <v>33</v>
      </c>
      <c r="E61" s="69">
        <v>3.75</v>
      </c>
      <c r="F61" s="73">
        <f t="shared" si="4"/>
        <v>5.8125</v>
      </c>
      <c r="G61" s="69"/>
      <c r="H61" s="69"/>
    </row>
    <row r="62" spans="1:8" ht="16.149999999999999" customHeight="1">
      <c r="A62" s="68"/>
      <c r="B62" s="69" t="s">
        <v>316</v>
      </c>
      <c r="C62" s="73">
        <v>0.5</v>
      </c>
      <c r="D62" s="70" t="s">
        <v>33</v>
      </c>
      <c r="E62" s="73">
        <v>4</v>
      </c>
      <c r="F62" s="73">
        <f t="shared" si="4"/>
        <v>2</v>
      </c>
      <c r="G62" s="69"/>
      <c r="H62" s="69"/>
    </row>
    <row r="63" spans="1:8" ht="16.149999999999999" customHeight="1">
      <c r="A63" s="68"/>
      <c r="B63" s="69" t="s">
        <v>35</v>
      </c>
      <c r="C63" s="73">
        <v>0.5</v>
      </c>
      <c r="D63" s="70" t="s">
        <v>33</v>
      </c>
      <c r="E63" s="73">
        <v>2</v>
      </c>
      <c r="F63" s="73">
        <f t="shared" si="4"/>
        <v>1</v>
      </c>
      <c r="G63" s="69"/>
      <c r="H63" s="69"/>
    </row>
    <row r="64" spans="1:8" ht="16.149999999999999" customHeight="1">
      <c r="A64" s="68"/>
      <c r="B64" s="69" t="s">
        <v>36</v>
      </c>
      <c r="C64" s="73">
        <v>0.5</v>
      </c>
      <c r="D64" s="70" t="s">
        <v>33</v>
      </c>
      <c r="E64" s="73">
        <v>2.5</v>
      </c>
      <c r="F64" s="69">
        <f t="shared" si="4"/>
        <v>1.25</v>
      </c>
      <c r="G64" s="69"/>
      <c r="H64" s="69"/>
    </row>
    <row r="65" spans="1:8" ht="16.149999999999999" customHeight="1">
      <c r="A65" s="68"/>
      <c r="B65" s="69" t="s">
        <v>37</v>
      </c>
      <c r="C65" s="73">
        <v>0.5</v>
      </c>
      <c r="D65" s="70" t="s">
        <v>33</v>
      </c>
      <c r="E65" s="73">
        <v>4</v>
      </c>
      <c r="F65" s="73">
        <f t="shared" si="4"/>
        <v>2</v>
      </c>
      <c r="G65" s="69"/>
      <c r="H65" s="69"/>
    </row>
    <row r="66" spans="1:8" ht="16.149999999999999" customHeight="1">
      <c r="A66" s="68"/>
      <c r="B66" s="69" t="s">
        <v>317</v>
      </c>
      <c r="C66" s="69">
        <v>0.13</v>
      </c>
      <c r="D66" s="70" t="s">
        <v>29</v>
      </c>
      <c r="E66" s="73">
        <v>20</v>
      </c>
      <c r="F66" s="73">
        <f t="shared" si="4"/>
        <v>2.6</v>
      </c>
      <c r="G66" s="86" t="s">
        <v>275</v>
      </c>
      <c r="H66" s="69"/>
    </row>
    <row r="67" spans="1:8" ht="16.149999999999999" customHeight="1">
      <c r="A67" s="68"/>
      <c r="B67" s="69" t="s">
        <v>38</v>
      </c>
      <c r="C67" s="69">
        <v>0.03</v>
      </c>
      <c r="D67" s="70" t="s">
        <v>20</v>
      </c>
      <c r="E67" s="73">
        <v>95</v>
      </c>
      <c r="F67" s="69">
        <f t="shared" si="4"/>
        <v>2.85</v>
      </c>
      <c r="G67" s="87">
        <v>352</v>
      </c>
      <c r="H67" s="69"/>
    </row>
    <row r="68" spans="1:8" ht="16.149999999999999" customHeight="1">
      <c r="A68" s="68"/>
      <c r="B68" s="69" t="s">
        <v>39</v>
      </c>
      <c r="C68" s="69">
        <v>0.34</v>
      </c>
      <c r="D68" s="70" t="s">
        <v>72</v>
      </c>
      <c r="E68" s="87">
        <v>238</v>
      </c>
      <c r="F68" s="88">
        <f t="shared" si="4"/>
        <v>80.92</v>
      </c>
      <c r="G68" s="73">
        <f>C68*G67</f>
        <v>119.68</v>
      </c>
      <c r="H68" s="69"/>
    </row>
    <row r="69" spans="1:8" ht="16.149999999999999" customHeight="1">
      <c r="A69" s="68"/>
      <c r="B69" s="69" t="s">
        <v>318</v>
      </c>
      <c r="C69" s="69">
        <v>0.12</v>
      </c>
      <c r="D69" s="70" t="s">
        <v>40</v>
      </c>
      <c r="E69" s="73">
        <v>110</v>
      </c>
      <c r="F69" s="73">
        <f t="shared" si="4"/>
        <v>13.2</v>
      </c>
      <c r="G69" s="69"/>
      <c r="H69" s="69"/>
    </row>
    <row r="70" spans="1:8" ht="16.149999999999999" customHeight="1">
      <c r="A70" s="68"/>
      <c r="B70" s="69" t="s">
        <v>42</v>
      </c>
      <c r="C70" s="69">
        <v>0.02</v>
      </c>
      <c r="D70" s="70" t="s">
        <v>43</v>
      </c>
      <c r="E70" s="73">
        <v>212</v>
      </c>
      <c r="F70" s="69">
        <f t="shared" si="4"/>
        <v>4.24</v>
      </c>
      <c r="G70" s="69"/>
      <c r="H70" s="69"/>
    </row>
    <row r="71" spans="1:8" ht="16.149999999999999" customHeight="1">
      <c r="A71" s="68"/>
      <c r="B71" s="69" t="s">
        <v>215</v>
      </c>
      <c r="C71" s="73">
        <v>2</v>
      </c>
      <c r="D71" s="70" t="s">
        <v>19</v>
      </c>
      <c r="E71" s="73">
        <v>5</v>
      </c>
      <c r="F71" s="73">
        <f t="shared" si="4"/>
        <v>10</v>
      </c>
      <c r="G71" s="69"/>
      <c r="H71" s="69"/>
    </row>
    <row r="72" spans="1:8" ht="16.149999999999999" customHeight="1">
      <c r="A72" s="68"/>
      <c r="B72" s="69"/>
      <c r="C72" s="69"/>
      <c r="D72" s="70"/>
      <c r="E72" s="69"/>
      <c r="F72" s="84">
        <f>SUM(F58:F71)</f>
        <v>213.08249999999998</v>
      </c>
      <c r="G72" s="89">
        <f>SUM(F58:F67,F69:F71,G68)</f>
        <v>251.8425</v>
      </c>
      <c r="H72" s="69"/>
    </row>
    <row r="73" spans="1:8" ht="16.149999999999999" customHeight="1">
      <c r="A73" s="68"/>
      <c r="B73" s="69"/>
      <c r="C73" s="69"/>
      <c r="D73" s="70"/>
      <c r="E73" s="69"/>
      <c r="F73" s="84"/>
      <c r="G73" s="90"/>
      <c r="H73" s="69"/>
    </row>
    <row r="74" spans="1:8" ht="16.149999999999999" customHeight="1">
      <c r="A74" s="91">
        <v>4.1100000000000003</v>
      </c>
      <c r="B74" s="69" t="s">
        <v>147</v>
      </c>
      <c r="C74" s="69">
        <v>0.34</v>
      </c>
      <c r="D74" s="70" t="s">
        <v>72</v>
      </c>
      <c r="E74" s="92">
        <v>133.63999999999999</v>
      </c>
      <c r="F74" s="73">
        <f>C74*E74</f>
        <v>45.437599999999996</v>
      </c>
      <c r="G74" s="69"/>
      <c r="H74" s="69"/>
    </row>
    <row r="75" spans="1:8" ht="16.149999999999999" customHeight="1">
      <c r="A75" s="68"/>
      <c r="B75" s="69"/>
      <c r="C75" s="69"/>
      <c r="D75" s="70"/>
      <c r="E75" s="69"/>
      <c r="F75" s="84">
        <f>SUM(F58:F67,F74)</f>
        <v>150.1601</v>
      </c>
      <c r="G75" s="69"/>
      <c r="H75" s="69"/>
    </row>
    <row r="76" spans="1:8" ht="16.149999999999999" customHeight="1">
      <c r="A76" s="68"/>
      <c r="B76" s="69"/>
      <c r="C76" s="69"/>
      <c r="D76" s="70"/>
      <c r="E76" s="69"/>
      <c r="F76" s="84"/>
      <c r="G76" s="69"/>
      <c r="H76" s="69"/>
    </row>
    <row r="77" spans="1:8" ht="16.149999999999999" customHeight="1">
      <c r="A77" s="68">
        <v>4.2</v>
      </c>
      <c r="B77" s="69" t="s">
        <v>55</v>
      </c>
      <c r="C77" s="70" t="s">
        <v>84</v>
      </c>
      <c r="D77" s="70" t="s">
        <v>6</v>
      </c>
      <c r="E77" s="70" t="s">
        <v>251</v>
      </c>
      <c r="F77" s="71" t="s">
        <v>92</v>
      </c>
      <c r="G77" s="70" t="s">
        <v>251</v>
      </c>
      <c r="H77" s="70" t="s">
        <v>221</v>
      </c>
    </row>
    <row r="78" spans="1:8" ht="16.149999999999999" customHeight="1">
      <c r="A78" s="68"/>
      <c r="B78" s="69" t="s">
        <v>47</v>
      </c>
      <c r="C78" s="73">
        <v>0.2</v>
      </c>
      <c r="D78" s="70" t="s">
        <v>29</v>
      </c>
      <c r="E78" s="73">
        <v>108</v>
      </c>
      <c r="F78" s="73">
        <f t="shared" ref="F78:F86" si="5">C78*E78</f>
        <v>21.6</v>
      </c>
      <c r="G78" s="69"/>
      <c r="H78" s="69"/>
    </row>
    <row r="79" spans="1:8" ht="16.149999999999999" customHeight="1">
      <c r="A79" s="68"/>
      <c r="B79" s="69" t="s">
        <v>48</v>
      </c>
      <c r="C79" s="69">
        <v>1.39</v>
      </c>
      <c r="D79" s="70" t="s">
        <v>29</v>
      </c>
      <c r="E79" s="73">
        <v>18.5</v>
      </c>
      <c r="F79" s="69">
        <f t="shared" si="5"/>
        <v>25.715</v>
      </c>
      <c r="G79" s="69"/>
      <c r="H79" s="69"/>
    </row>
    <row r="80" spans="1:8" ht="16.149999999999999" customHeight="1">
      <c r="A80" s="68"/>
      <c r="B80" s="69" t="s">
        <v>319</v>
      </c>
      <c r="C80" s="73">
        <v>0.1</v>
      </c>
      <c r="D80" s="70" t="s">
        <v>29</v>
      </c>
      <c r="E80" s="73">
        <v>85</v>
      </c>
      <c r="F80" s="73">
        <f t="shared" si="5"/>
        <v>8.5</v>
      </c>
      <c r="G80" s="69"/>
      <c r="H80" s="69"/>
    </row>
    <row r="81" spans="1:8" ht="16.149999999999999" customHeight="1">
      <c r="A81" s="68"/>
      <c r="B81" s="69" t="s">
        <v>50</v>
      </c>
      <c r="C81" s="73">
        <v>0.5</v>
      </c>
      <c r="D81" s="70" t="s">
        <v>33</v>
      </c>
      <c r="E81" s="73">
        <v>2.5</v>
      </c>
      <c r="F81" s="69">
        <f t="shared" si="5"/>
        <v>1.25</v>
      </c>
      <c r="G81" s="69"/>
      <c r="H81" s="69"/>
    </row>
    <row r="82" spans="1:8" ht="16.149999999999999" customHeight="1">
      <c r="A82" s="68"/>
      <c r="B82" s="69" t="s">
        <v>35</v>
      </c>
      <c r="C82" s="73">
        <v>0.5</v>
      </c>
      <c r="D82" s="70" t="s">
        <v>33</v>
      </c>
      <c r="E82" s="73">
        <v>2</v>
      </c>
      <c r="F82" s="73">
        <f t="shared" si="5"/>
        <v>1</v>
      </c>
      <c r="G82" s="69"/>
      <c r="H82" s="69"/>
    </row>
    <row r="83" spans="1:8" ht="16.149999999999999" customHeight="1">
      <c r="A83" s="68"/>
      <c r="B83" s="69" t="s">
        <v>36</v>
      </c>
      <c r="C83" s="73">
        <v>0.5</v>
      </c>
      <c r="D83" s="70" t="s">
        <v>33</v>
      </c>
      <c r="E83" s="73">
        <v>2.5</v>
      </c>
      <c r="F83" s="69">
        <f t="shared" si="5"/>
        <v>1.25</v>
      </c>
      <c r="G83" s="69"/>
      <c r="H83" s="69"/>
    </row>
    <row r="84" spans="1:8" ht="16.149999999999999" customHeight="1">
      <c r="A84" s="68"/>
      <c r="B84" s="69" t="s">
        <v>37</v>
      </c>
      <c r="C84" s="73">
        <v>0.5</v>
      </c>
      <c r="D84" s="70" t="s">
        <v>33</v>
      </c>
      <c r="E84" s="73">
        <v>4</v>
      </c>
      <c r="F84" s="73">
        <f t="shared" si="5"/>
        <v>2</v>
      </c>
      <c r="G84" s="69"/>
      <c r="H84" s="69"/>
    </row>
    <row r="85" spans="1:8" ht="16.149999999999999" customHeight="1">
      <c r="A85" s="68"/>
      <c r="B85" s="69" t="s">
        <v>317</v>
      </c>
      <c r="C85" s="69">
        <v>0.13</v>
      </c>
      <c r="D85" s="70" t="s">
        <v>29</v>
      </c>
      <c r="E85" s="73">
        <v>20</v>
      </c>
      <c r="F85" s="73">
        <f t="shared" si="5"/>
        <v>2.6</v>
      </c>
      <c r="G85" s="70" t="s">
        <v>411</v>
      </c>
      <c r="H85" s="69"/>
    </row>
    <row r="86" spans="1:8" ht="16.149999999999999" customHeight="1">
      <c r="A86" s="68"/>
      <c r="B86" s="69" t="s">
        <v>320</v>
      </c>
      <c r="C86" s="69">
        <v>2.77</v>
      </c>
      <c r="D86" s="70" t="s">
        <v>72</v>
      </c>
      <c r="E86" s="93">
        <f>E74*0.36/2.88</f>
        <v>16.704999999999998</v>
      </c>
      <c r="F86" s="73">
        <f t="shared" si="5"/>
        <v>46.272849999999998</v>
      </c>
      <c r="G86" s="73">
        <v>30</v>
      </c>
      <c r="H86" s="71">
        <f>C86*G86</f>
        <v>83.1</v>
      </c>
    </row>
    <row r="87" spans="1:8" ht="16.149999999999999" customHeight="1">
      <c r="A87" s="68"/>
      <c r="B87" s="69"/>
      <c r="C87" s="69"/>
      <c r="D87" s="70"/>
      <c r="E87" s="69"/>
      <c r="F87" s="84">
        <f>SUM(F78:F86)</f>
        <v>110.18785</v>
      </c>
      <c r="G87" s="89">
        <f>SUM(F78:F85,H86)</f>
        <v>147.01499999999999</v>
      </c>
      <c r="H87" s="69"/>
    </row>
    <row r="88" spans="1:8" ht="16.149999999999999" customHeight="1">
      <c r="A88" s="68"/>
      <c r="B88" s="69"/>
      <c r="C88" s="69"/>
      <c r="D88" s="70"/>
      <c r="E88" s="69"/>
      <c r="F88" s="84"/>
      <c r="G88" s="90"/>
      <c r="H88" s="69"/>
    </row>
    <row r="89" spans="1:8" ht="16.149999999999999" customHeight="1">
      <c r="A89" s="68">
        <v>4.3</v>
      </c>
      <c r="B89" s="69" t="s">
        <v>213</v>
      </c>
      <c r="C89" s="69"/>
      <c r="D89" s="70"/>
      <c r="E89" s="69"/>
      <c r="F89" s="84"/>
      <c r="G89" s="69"/>
      <c r="H89" s="69"/>
    </row>
    <row r="90" spans="1:8" ht="16.149999999999999" customHeight="1">
      <c r="A90" s="68"/>
      <c r="B90" s="69" t="s">
        <v>212</v>
      </c>
      <c r="C90" s="70" t="s">
        <v>84</v>
      </c>
      <c r="D90" s="70" t="s">
        <v>6</v>
      </c>
      <c r="E90" s="70" t="s">
        <v>251</v>
      </c>
      <c r="F90" s="71" t="s">
        <v>92</v>
      </c>
      <c r="G90" s="70" t="s">
        <v>251</v>
      </c>
      <c r="H90" s="70" t="s">
        <v>221</v>
      </c>
    </row>
    <row r="91" spans="1:8" ht="16.149999999999999" customHeight="1">
      <c r="A91" s="68"/>
      <c r="B91" s="69" t="s">
        <v>216</v>
      </c>
      <c r="C91" s="69">
        <v>1</v>
      </c>
      <c r="D91" s="70" t="s">
        <v>19</v>
      </c>
      <c r="E91" s="77">
        <f>G67/1.2/2.4</f>
        <v>122.22222222222224</v>
      </c>
      <c r="F91" s="73">
        <f t="shared" ref="F91:F94" si="6">C91*E91</f>
        <v>122.22222222222224</v>
      </c>
      <c r="G91" s="69"/>
      <c r="H91" s="69"/>
    </row>
    <row r="92" spans="1:8" ht="16.149999999999999" customHeight="1">
      <c r="A92" s="68"/>
      <c r="B92" s="69" t="s">
        <v>261</v>
      </c>
      <c r="C92" s="69">
        <v>1</v>
      </c>
      <c r="D92" s="70" t="s">
        <v>19</v>
      </c>
      <c r="E92" s="73">
        <v>120</v>
      </c>
      <c r="F92" s="73">
        <f t="shared" si="6"/>
        <v>120</v>
      </c>
      <c r="G92" s="69"/>
      <c r="H92" s="69"/>
    </row>
    <row r="93" spans="1:8" ht="16.149999999999999" customHeight="1">
      <c r="A93" s="68"/>
      <c r="B93" s="69" t="s">
        <v>214</v>
      </c>
      <c r="C93" s="69">
        <v>0.11</v>
      </c>
      <c r="D93" s="70" t="s">
        <v>20</v>
      </c>
      <c r="E93" s="73">
        <v>25</v>
      </c>
      <c r="F93" s="73">
        <f t="shared" si="6"/>
        <v>2.75</v>
      </c>
      <c r="G93" s="69"/>
      <c r="H93" s="69"/>
    </row>
    <row r="94" spans="1:8" ht="16.149999999999999" customHeight="1">
      <c r="A94" s="68"/>
      <c r="B94" s="69" t="s">
        <v>215</v>
      </c>
      <c r="C94" s="69">
        <v>2</v>
      </c>
      <c r="D94" s="70" t="s">
        <v>19</v>
      </c>
      <c r="E94" s="73">
        <v>5</v>
      </c>
      <c r="F94" s="73">
        <f t="shared" si="6"/>
        <v>10</v>
      </c>
      <c r="G94" s="69"/>
      <c r="H94" s="69"/>
    </row>
    <row r="95" spans="1:8" ht="16.149999999999999" customHeight="1">
      <c r="A95" s="68"/>
      <c r="B95" s="69"/>
      <c r="C95" s="69"/>
      <c r="D95" s="70"/>
      <c r="E95" s="69"/>
      <c r="F95" s="75">
        <f>SUM(F91:F94)</f>
        <v>254.97222222222223</v>
      </c>
      <c r="G95" s="69"/>
      <c r="H95" s="69"/>
    </row>
    <row r="96" spans="1:8" ht="16.149999999999999" customHeight="1">
      <c r="A96" s="68"/>
      <c r="B96" s="69"/>
      <c r="C96" s="69"/>
      <c r="D96" s="70"/>
      <c r="E96" s="69"/>
      <c r="F96" s="94"/>
      <c r="G96" s="69"/>
      <c r="H96" s="69"/>
    </row>
    <row r="97" spans="1:8" ht="16.149999999999999" customHeight="1">
      <c r="A97" s="95">
        <v>4.4000000000000004</v>
      </c>
      <c r="B97" s="69" t="s">
        <v>217</v>
      </c>
      <c r="C97" s="70" t="s">
        <v>84</v>
      </c>
      <c r="D97" s="70" t="s">
        <v>6</v>
      </c>
      <c r="E97" s="70" t="s">
        <v>251</v>
      </c>
      <c r="F97" s="71" t="s">
        <v>92</v>
      </c>
      <c r="G97" s="70" t="s">
        <v>251</v>
      </c>
      <c r="H97" s="70" t="s">
        <v>221</v>
      </c>
    </row>
    <row r="98" spans="1:8" ht="15.65" customHeight="1">
      <c r="A98" s="68"/>
      <c r="B98" s="69" t="s">
        <v>293</v>
      </c>
      <c r="C98" s="69">
        <v>12.05</v>
      </c>
      <c r="D98" s="70" t="s">
        <v>20</v>
      </c>
      <c r="E98" s="78">
        <f>E26</f>
        <v>2.6819999999999999</v>
      </c>
      <c r="F98" s="73">
        <f>C98*E98</f>
        <v>32.318100000000001</v>
      </c>
      <c r="G98" s="69"/>
      <c r="H98" s="69"/>
    </row>
    <row r="99" spans="1:8" ht="16.149999999999999" customHeight="1">
      <c r="A99" s="68"/>
      <c r="B99" s="69" t="s">
        <v>304</v>
      </c>
      <c r="C99" s="73">
        <v>0.5</v>
      </c>
      <c r="D99" s="70" t="s">
        <v>62</v>
      </c>
      <c r="E99" s="74">
        <f>409/5</f>
        <v>81.8</v>
      </c>
      <c r="F99" s="73">
        <f>C99*E99</f>
        <v>40.9</v>
      </c>
      <c r="G99" s="69"/>
      <c r="H99" s="69" t="s">
        <v>305</v>
      </c>
    </row>
    <row r="100" spans="1:8" ht="16.149999999999999" customHeight="1">
      <c r="A100" s="68"/>
      <c r="B100" s="69" t="s">
        <v>63</v>
      </c>
      <c r="C100" s="69">
        <v>0.04</v>
      </c>
      <c r="D100" s="70" t="s">
        <v>58</v>
      </c>
      <c r="E100" s="74">
        <v>498</v>
      </c>
      <c r="F100" s="73">
        <f>C100*E100</f>
        <v>19.920000000000002</v>
      </c>
      <c r="G100" s="69"/>
      <c r="H100" s="69"/>
    </row>
    <row r="101" spans="1:8" ht="16.149999999999999" customHeight="1">
      <c r="A101" s="68"/>
      <c r="B101" s="69" t="s">
        <v>64</v>
      </c>
      <c r="C101" s="73">
        <v>3</v>
      </c>
      <c r="D101" s="70" t="s">
        <v>62</v>
      </c>
      <c r="E101" s="78">
        <f>E9</f>
        <v>1.6399999999999998E-2</v>
      </c>
      <c r="F101" s="69">
        <f>C101*E101</f>
        <v>4.9199999999999994E-2</v>
      </c>
      <c r="G101" s="69"/>
      <c r="H101" s="69"/>
    </row>
    <row r="102" spans="1:8" ht="16.149999999999999" customHeight="1">
      <c r="A102" s="68"/>
      <c r="B102" s="69"/>
      <c r="C102" s="69"/>
      <c r="D102" s="70"/>
      <c r="E102" s="69"/>
      <c r="F102" s="75">
        <f>SUM(F98:F101)</f>
        <v>93.187299999999993</v>
      </c>
      <c r="G102" s="69"/>
      <c r="H102" s="69"/>
    </row>
    <row r="103" spans="1:8" ht="16.149999999999999" customHeight="1">
      <c r="A103" s="68"/>
      <c r="B103" s="69"/>
      <c r="C103" s="69"/>
      <c r="D103" s="70"/>
      <c r="E103" s="69"/>
      <c r="F103" s="75"/>
      <c r="G103" s="69"/>
      <c r="H103" s="69"/>
    </row>
    <row r="104" spans="1:8" ht="16.149999999999999" customHeight="1">
      <c r="A104" s="68"/>
      <c r="B104" s="69"/>
      <c r="C104" s="69"/>
      <c r="D104" s="70"/>
      <c r="E104" s="69"/>
      <c r="F104" s="75"/>
      <c r="G104" s="69"/>
      <c r="H104" s="69"/>
    </row>
    <row r="105" spans="1:8" ht="16.149999999999999" customHeight="1">
      <c r="A105" s="68">
        <v>4.5</v>
      </c>
      <c r="B105" s="69" t="s">
        <v>258</v>
      </c>
      <c r="C105" s="69"/>
      <c r="D105" s="70"/>
      <c r="E105" s="69"/>
      <c r="F105" s="69"/>
      <c r="G105" s="69"/>
      <c r="H105" s="69"/>
    </row>
    <row r="106" spans="1:8" ht="16.149999999999999" customHeight="1">
      <c r="A106" s="68"/>
      <c r="B106" s="69" t="s">
        <v>248</v>
      </c>
      <c r="C106" s="70" t="s">
        <v>84</v>
      </c>
      <c r="D106" s="70" t="s">
        <v>6</v>
      </c>
      <c r="E106" s="70" t="s">
        <v>251</v>
      </c>
      <c r="F106" s="71" t="s">
        <v>92</v>
      </c>
      <c r="G106" s="70" t="s">
        <v>251</v>
      </c>
      <c r="H106" s="70" t="s">
        <v>221</v>
      </c>
    </row>
    <row r="107" spans="1:8" ht="16.149999999999999" customHeight="1">
      <c r="A107" s="68"/>
      <c r="B107" s="69" t="s">
        <v>249</v>
      </c>
      <c r="C107" s="69">
        <f>6*9</f>
        <v>54</v>
      </c>
      <c r="D107" s="70" t="s">
        <v>29</v>
      </c>
      <c r="E107" s="73">
        <v>95</v>
      </c>
      <c r="F107" s="73">
        <f t="shared" ref="F107:F112" si="7">C107*E107</f>
        <v>5130</v>
      </c>
      <c r="G107" s="69"/>
      <c r="H107" s="69"/>
    </row>
    <row r="108" spans="1:8" ht="16.149999999999999" customHeight="1">
      <c r="A108" s="68"/>
      <c r="B108" s="69" t="s">
        <v>34</v>
      </c>
      <c r="C108" s="69">
        <f>4*3*9</f>
        <v>108</v>
      </c>
      <c r="D108" s="70" t="s">
        <v>33</v>
      </c>
      <c r="E108" s="73">
        <v>4</v>
      </c>
      <c r="F108" s="73">
        <f t="shared" si="7"/>
        <v>432</v>
      </c>
      <c r="G108" s="69"/>
      <c r="H108" s="69"/>
    </row>
    <row r="109" spans="1:8" ht="16.149999999999999" customHeight="1">
      <c r="A109" s="68"/>
      <c r="B109" s="69" t="s">
        <v>32</v>
      </c>
      <c r="C109" s="69">
        <v>108</v>
      </c>
      <c r="D109" s="70" t="s">
        <v>33</v>
      </c>
      <c r="E109" s="73">
        <v>3.75</v>
      </c>
      <c r="F109" s="73">
        <f t="shared" si="7"/>
        <v>405</v>
      </c>
      <c r="G109" s="69"/>
      <c r="H109" s="69"/>
    </row>
    <row r="110" spans="1:8" ht="16.149999999999999" customHeight="1">
      <c r="A110" s="68"/>
      <c r="B110" s="69" t="s">
        <v>38</v>
      </c>
      <c r="C110" s="69">
        <f>0.03*2*29</f>
        <v>1.74</v>
      </c>
      <c r="D110" s="70" t="s">
        <v>20</v>
      </c>
      <c r="E110" s="73">
        <v>95</v>
      </c>
      <c r="F110" s="73">
        <f t="shared" si="7"/>
        <v>165.3</v>
      </c>
      <c r="G110" s="69"/>
      <c r="H110" s="69"/>
    </row>
    <row r="111" spans="1:8" ht="16.149999999999999" customHeight="1">
      <c r="A111" s="68"/>
      <c r="B111" s="69" t="s">
        <v>250</v>
      </c>
      <c r="C111" s="69">
        <f>24*10*3</f>
        <v>720</v>
      </c>
      <c r="D111" s="70" t="s">
        <v>29</v>
      </c>
      <c r="E111" s="73">
        <v>42</v>
      </c>
      <c r="F111" s="73">
        <f t="shared" si="7"/>
        <v>30240</v>
      </c>
      <c r="G111" s="69"/>
      <c r="H111" s="69"/>
    </row>
    <row r="112" spans="1:8" ht="16.149999999999999" customHeight="1">
      <c r="A112" s="68"/>
      <c r="B112" s="69" t="s">
        <v>150</v>
      </c>
      <c r="C112" s="73">
        <f>2*29</f>
        <v>58</v>
      </c>
      <c r="D112" s="70" t="s">
        <v>19</v>
      </c>
      <c r="E112" s="73">
        <v>25</v>
      </c>
      <c r="F112" s="73">
        <f t="shared" si="7"/>
        <v>1450</v>
      </c>
      <c r="G112" s="69"/>
      <c r="H112" s="69"/>
    </row>
    <row r="113" spans="1:8" ht="16.149999999999999" customHeight="1">
      <c r="A113" s="68"/>
      <c r="B113" s="69"/>
      <c r="C113" s="69"/>
      <c r="D113" s="70"/>
      <c r="E113" s="69"/>
      <c r="F113" s="84">
        <f>SUM(F107:F112)</f>
        <v>37822.300000000003</v>
      </c>
      <c r="G113" s="69"/>
      <c r="H113" s="69"/>
    </row>
    <row r="114" spans="1:8" ht="16.149999999999999" customHeight="1">
      <c r="A114" s="68"/>
      <c r="B114" s="69"/>
      <c r="C114" s="69"/>
      <c r="D114" s="70"/>
      <c r="E114" s="69"/>
      <c r="F114" s="75">
        <f>ROUNDDOWN(F113/58,0)</f>
        <v>652</v>
      </c>
      <c r="G114" s="69"/>
      <c r="H114" s="69"/>
    </row>
    <row r="115" spans="1:8" ht="16.149999999999999" customHeight="1">
      <c r="A115" s="62">
        <v>5</v>
      </c>
      <c r="B115" s="63" t="s">
        <v>102</v>
      </c>
      <c r="C115" s="69"/>
      <c r="D115" s="70"/>
      <c r="E115" s="69"/>
      <c r="F115" s="69"/>
      <c r="G115" s="69"/>
      <c r="H115" s="69"/>
    </row>
    <row r="116" spans="1:8" ht="16.149999999999999" customHeight="1">
      <c r="A116" s="68">
        <v>5.0999999999999996</v>
      </c>
      <c r="B116" s="69" t="s">
        <v>219</v>
      </c>
      <c r="C116" s="70" t="s">
        <v>84</v>
      </c>
      <c r="D116" s="70" t="s">
        <v>6</v>
      </c>
      <c r="E116" s="70" t="s">
        <v>251</v>
      </c>
      <c r="F116" s="71" t="s">
        <v>92</v>
      </c>
      <c r="G116" s="70" t="s">
        <v>251</v>
      </c>
      <c r="H116" s="70" t="s">
        <v>221</v>
      </c>
    </row>
    <row r="117" spans="1:8" ht="16.149999999999999" customHeight="1">
      <c r="A117" s="68"/>
      <c r="B117" s="69" t="s">
        <v>289</v>
      </c>
      <c r="C117" s="69">
        <v>4.5599999999999996</v>
      </c>
      <c r="D117" s="70" t="s">
        <v>58</v>
      </c>
      <c r="E117" s="77">
        <f>E38</f>
        <v>2470.6</v>
      </c>
      <c r="F117" s="73">
        <f t="shared" ref="F117:F119" si="8">C117*E117</f>
        <v>11265.935999999998</v>
      </c>
      <c r="G117" s="73">
        <v>485</v>
      </c>
      <c r="H117" s="73">
        <f>C117*G117</f>
        <v>2211.6</v>
      </c>
    </row>
    <row r="118" spans="1:8" ht="16.149999999999999" customHeight="1">
      <c r="A118" s="68"/>
      <c r="B118" s="69" t="s">
        <v>220</v>
      </c>
      <c r="C118" s="69">
        <v>30.42</v>
      </c>
      <c r="D118" s="70" t="s">
        <v>19</v>
      </c>
      <c r="E118" s="74">
        <v>35.51</v>
      </c>
      <c r="F118" s="73">
        <f t="shared" si="8"/>
        <v>1080.2141999999999</v>
      </c>
      <c r="G118" s="73">
        <v>5</v>
      </c>
      <c r="H118" s="73">
        <f t="shared" ref="H118:H120" si="9">C118*G118</f>
        <v>152.10000000000002</v>
      </c>
    </row>
    <row r="119" spans="1:8" ht="16.149999999999999" customHeight="1">
      <c r="A119" s="68"/>
      <c r="B119" s="69" t="s">
        <v>218</v>
      </c>
      <c r="C119" s="69">
        <v>5.73</v>
      </c>
      <c r="D119" s="70" t="s">
        <v>58</v>
      </c>
      <c r="E119" s="77">
        <f>E7</f>
        <v>508.33</v>
      </c>
      <c r="F119" s="73">
        <f t="shared" si="8"/>
        <v>2912.7309</v>
      </c>
      <c r="G119" s="73">
        <v>91</v>
      </c>
      <c r="H119" s="73">
        <f t="shared" si="9"/>
        <v>521.43000000000006</v>
      </c>
    </row>
    <row r="120" spans="1:8" ht="16.149999999999999" customHeight="1">
      <c r="A120" s="68"/>
      <c r="B120" s="69" t="s">
        <v>222</v>
      </c>
      <c r="C120" s="69">
        <v>30.42</v>
      </c>
      <c r="D120" s="70" t="s">
        <v>19</v>
      </c>
      <c r="E120" s="69"/>
      <c r="F120" s="84"/>
      <c r="G120" s="73">
        <v>40</v>
      </c>
      <c r="H120" s="73">
        <f t="shared" si="9"/>
        <v>1216.8000000000002</v>
      </c>
    </row>
    <row r="121" spans="1:8" ht="16.149999999999999" customHeight="1">
      <c r="A121" s="68"/>
      <c r="B121" s="69"/>
      <c r="C121" s="69"/>
      <c r="D121" s="70"/>
      <c r="E121" s="69"/>
      <c r="F121" s="84">
        <f>SUM(F117:F120)</f>
        <v>15258.881099999999</v>
      </c>
      <c r="G121" s="69"/>
      <c r="H121" s="90">
        <f>SUM(H117:H120)</f>
        <v>4101.93</v>
      </c>
    </row>
    <row r="122" spans="1:8" ht="16.149999999999999" customHeight="1">
      <c r="A122" s="68"/>
      <c r="B122" s="69"/>
      <c r="C122" s="69"/>
      <c r="D122" s="70"/>
      <c r="E122" s="69"/>
      <c r="F122" s="96">
        <f>F121/30.42</f>
        <v>501.60687376725832</v>
      </c>
      <c r="G122" s="69"/>
      <c r="H122" s="96">
        <f>H121/30.42</f>
        <v>134.8431952662722</v>
      </c>
    </row>
    <row r="123" spans="1:8" ht="16.149999999999999" customHeight="1">
      <c r="A123" s="68">
        <v>5.2</v>
      </c>
      <c r="B123" s="69" t="s">
        <v>67</v>
      </c>
      <c r="C123" s="70" t="s">
        <v>84</v>
      </c>
      <c r="D123" s="70" t="s">
        <v>6</v>
      </c>
      <c r="E123" s="70" t="s">
        <v>251</v>
      </c>
      <c r="F123" s="71" t="s">
        <v>92</v>
      </c>
      <c r="G123" s="70" t="s">
        <v>251</v>
      </c>
      <c r="H123" s="70" t="s">
        <v>221</v>
      </c>
    </row>
    <row r="124" spans="1:8" ht="16.149999999999999" customHeight="1">
      <c r="A124" s="68"/>
      <c r="B124" s="69" t="s">
        <v>59</v>
      </c>
      <c r="C124" s="69">
        <v>21.51</v>
      </c>
      <c r="D124" s="70" t="s">
        <v>20</v>
      </c>
      <c r="E124" s="78">
        <f>E26</f>
        <v>2.6819999999999999</v>
      </c>
      <c r="F124" s="73">
        <f>C124*E124</f>
        <v>57.689820000000005</v>
      </c>
      <c r="G124" s="69"/>
      <c r="H124" s="69"/>
    </row>
    <row r="125" spans="1:8" ht="16.149999999999999" customHeight="1">
      <c r="A125" s="68"/>
      <c r="B125" s="69" t="s">
        <v>57</v>
      </c>
      <c r="C125" s="69">
        <v>0.11</v>
      </c>
      <c r="D125" s="70" t="s">
        <v>58</v>
      </c>
      <c r="E125" s="77">
        <f>E7</f>
        <v>508.33</v>
      </c>
      <c r="F125" s="73">
        <f>C125*E125</f>
        <v>55.9163</v>
      </c>
      <c r="G125" s="69"/>
      <c r="H125" s="69"/>
    </row>
    <row r="126" spans="1:8" ht="16.149999999999999" customHeight="1">
      <c r="A126" s="68"/>
      <c r="B126" s="69" t="s">
        <v>69</v>
      </c>
      <c r="C126" s="69">
        <v>0.25</v>
      </c>
      <c r="D126" s="70" t="s">
        <v>62</v>
      </c>
      <c r="E126" s="74">
        <v>28</v>
      </c>
      <c r="F126" s="73">
        <f>C126*E126</f>
        <v>7</v>
      </c>
      <c r="G126" s="69"/>
      <c r="H126" s="69"/>
    </row>
    <row r="127" spans="1:8" ht="16.149999999999999" customHeight="1">
      <c r="A127" s="68"/>
      <c r="B127" s="69" t="s">
        <v>64</v>
      </c>
      <c r="C127" s="69">
        <v>6</v>
      </c>
      <c r="D127" s="70" t="s">
        <v>62</v>
      </c>
      <c r="E127" s="78">
        <f>E9</f>
        <v>1.6399999999999998E-2</v>
      </c>
      <c r="F127" s="69">
        <f>C127*E127</f>
        <v>9.8399999999999987E-2</v>
      </c>
      <c r="G127" s="69"/>
      <c r="H127" s="69"/>
    </row>
    <row r="128" spans="1:8" ht="16.149999999999999" customHeight="1">
      <c r="A128" s="68"/>
      <c r="B128" s="97" t="s">
        <v>89</v>
      </c>
      <c r="C128" s="69"/>
      <c r="D128" s="70"/>
      <c r="E128" s="69"/>
      <c r="F128" s="75">
        <f>SUM(F124:F127)</f>
        <v>120.70452</v>
      </c>
      <c r="G128" s="69"/>
      <c r="H128" s="69"/>
    </row>
    <row r="129" spans="1:8" ht="16.149999999999999" customHeight="1">
      <c r="A129" s="68"/>
      <c r="B129" s="98"/>
      <c r="C129" s="69"/>
      <c r="D129" s="70"/>
      <c r="E129" s="69"/>
      <c r="F129" s="84"/>
      <c r="G129" s="69"/>
      <c r="H129" s="69"/>
    </row>
    <row r="130" spans="1:8" ht="16.149999999999999" customHeight="1">
      <c r="A130" s="68">
        <v>5.3</v>
      </c>
      <c r="B130" s="69" t="s">
        <v>290</v>
      </c>
      <c r="C130" s="70" t="s">
        <v>84</v>
      </c>
      <c r="D130" s="70" t="s">
        <v>6</v>
      </c>
      <c r="E130" s="70" t="s">
        <v>251</v>
      </c>
      <c r="F130" s="71" t="s">
        <v>92</v>
      </c>
      <c r="G130" s="70" t="s">
        <v>251</v>
      </c>
      <c r="H130" s="70" t="s">
        <v>221</v>
      </c>
    </row>
    <row r="131" spans="1:8" ht="16.149999999999999" customHeight="1">
      <c r="A131" s="68"/>
      <c r="B131" s="69" t="s">
        <v>291</v>
      </c>
      <c r="C131" s="73">
        <v>1.1000000000000001</v>
      </c>
      <c r="D131" s="70" t="s">
        <v>292</v>
      </c>
      <c r="E131" s="74">
        <f>26.5*11.11</f>
        <v>294.41499999999996</v>
      </c>
      <c r="F131" s="73">
        <f t="shared" ref="F131:F136" si="10">C131*E131</f>
        <v>323.85649999999998</v>
      </c>
      <c r="G131" s="69"/>
      <c r="H131" s="69"/>
    </row>
    <row r="132" spans="1:8" ht="16.149999999999999" customHeight="1">
      <c r="A132" s="68"/>
      <c r="B132" s="69" t="s">
        <v>293</v>
      </c>
      <c r="C132" s="69">
        <v>21.51</v>
      </c>
      <c r="D132" s="70" t="s">
        <v>20</v>
      </c>
      <c r="E132" s="78">
        <f>E26</f>
        <v>2.6819999999999999</v>
      </c>
      <c r="F132" s="73">
        <f t="shared" si="10"/>
        <v>57.689820000000005</v>
      </c>
      <c r="G132" s="69"/>
      <c r="H132" s="69"/>
    </row>
    <row r="133" spans="1:8" ht="16.149999999999999" customHeight="1">
      <c r="A133" s="68"/>
      <c r="B133" s="69" t="s">
        <v>57</v>
      </c>
      <c r="C133" s="69">
        <v>0.11</v>
      </c>
      <c r="D133" s="70" t="s">
        <v>58</v>
      </c>
      <c r="E133" s="77">
        <f>E7</f>
        <v>508.33</v>
      </c>
      <c r="F133" s="73">
        <f>C133*E133</f>
        <v>55.9163</v>
      </c>
      <c r="G133" s="69"/>
      <c r="H133" s="69"/>
    </row>
    <row r="134" spans="1:8" ht="16.149999999999999" customHeight="1">
      <c r="A134" s="68"/>
      <c r="B134" s="69" t="s">
        <v>64</v>
      </c>
      <c r="C134" s="69">
        <v>10</v>
      </c>
      <c r="D134" s="70" t="s">
        <v>62</v>
      </c>
      <c r="E134" s="78">
        <f>E9</f>
        <v>1.6399999999999998E-2</v>
      </c>
      <c r="F134" s="69">
        <f>C134*E134</f>
        <v>0.16399999999999998</v>
      </c>
      <c r="G134" s="69"/>
      <c r="H134" s="69"/>
    </row>
    <row r="135" spans="1:8" ht="16.149999999999999" customHeight="1">
      <c r="A135" s="68"/>
      <c r="B135" s="69" t="s">
        <v>294</v>
      </c>
      <c r="C135" s="69">
        <v>3.5000000000000003E-2</v>
      </c>
      <c r="D135" s="70" t="s">
        <v>20</v>
      </c>
      <c r="E135" s="72">
        <v>9.2149999999999999</v>
      </c>
      <c r="F135" s="73">
        <f t="shared" si="10"/>
        <v>0.32252500000000001</v>
      </c>
      <c r="G135" s="69"/>
      <c r="H135" s="69"/>
    </row>
    <row r="136" spans="1:8" ht="16.149999999999999" customHeight="1">
      <c r="A136" s="68"/>
      <c r="B136" s="69" t="s">
        <v>295</v>
      </c>
      <c r="C136" s="69">
        <v>3.5000000000000003E-2</v>
      </c>
      <c r="D136" s="70" t="s">
        <v>20</v>
      </c>
      <c r="E136" s="74">
        <v>150</v>
      </c>
      <c r="F136" s="73">
        <f t="shared" si="10"/>
        <v>5.2500000000000009</v>
      </c>
      <c r="G136" s="69"/>
      <c r="H136" s="69"/>
    </row>
    <row r="137" spans="1:8" ht="16.149999999999999" customHeight="1">
      <c r="A137" s="68"/>
      <c r="B137" s="69"/>
      <c r="C137" s="69"/>
      <c r="D137" s="70"/>
      <c r="E137" s="69"/>
      <c r="F137" s="75">
        <f>SUM(F131:F136)</f>
        <v>443.19914499999993</v>
      </c>
      <c r="G137" s="69"/>
      <c r="H137" s="69"/>
    </row>
    <row r="138" spans="1:8" ht="16.149999999999999" customHeight="1">
      <c r="A138" s="68"/>
      <c r="B138" s="69"/>
      <c r="C138" s="70" t="s">
        <v>84</v>
      </c>
      <c r="D138" s="70" t="s">
        <v>6</v>
      </c>
      <c r="E138" s="70" t="s">
        <v>251</v>
      </c>
      <c r="F138" s="71" t="s">
        <v>92</v>
      </c>
      <c r="G138" s="70" t="s">
        <v>251</v>
      </c>
      <c r="H138" s="70" t="s">
        <v>221</v>
      </c>
    </row>
    <row r="139" spans="1:8" ht="16.149999999999999" customHeight="1">
      <c r="A139" s="68">
        <v>5.4</v>
      </c>
      <c r="B139" s="69" t="s">
        <v>224</v>
      </c>
      <c r="C139" s="69">
        <v>3.3</v>
      </c>
      <c r="D139" s="70" t="s">
        <v>72</v>
      </c>
      <c r="E139" s="73">
        <v>19</v>
      </c>
      <c r="F139" s="99">
        <f t="shared" ref="F139:F140" si="11">C139*E139</f>
        <v>62.699999999999996</v>
      </c>
      <c r="G139" s="69"/>
      <c r="H139" s="69"/>
    </row>
    <row r="140" spans="1:8" ht="16.149999999999999" customHeight="1">
      <c r="A140" s="68"/>
      <c r="B140" s="69" t="s">
        <v>293</v>
      </c>
      <c r="C140" s="69">
        <v>21.51</v>
      </c>
      <c r="D140" s="70" t="s">
        <v>20</v>
      </c>
      <c r="E140" s="78">
        <f>E26</f>
        <v>2.6819999999999999</v>
      </c>
      <c r="F140" s="73">
        <f t="shared" si="11"/>
        <v>57.689820000000005</v>
      </c>
      <c r="G140" s="69"/>
      <c r="H140" s="69"/>
    </row>
    <row r="141" spans="1:8" ht="16.149999999999999" customHeight="1">
      <c r="A141" s="68"/>
      <c r="B141" s="69" t="s">
        <v>57</v>
      </c>
      <c r="C141" s="69">
        <v>0.11</v>
      </c>
      <c r="D141" s="70" t="s">
        <v>58</v>
      </c>
      <c r="E141" s="77">
        <f>E7</f>
        <v>508.33</v>
      </c>
      <c r="F141" s="73">
        <f>C141*E141</f>
        <v>55.9163</v>
      </c>
      <c r="G141" s="69"/>
      <c r="H141" s="69"/>
    </row>
    <row r="142" spans="1:8" ht="16.149999999999999" customHeight="1">
      <c r="A142" s="68"/>
      <c r="B142" s="69" t="s">
        <v>64</v>
      </c>
      <c r="C142" s="69">
        <v>10</v>
      </c>
      <c r="D142" s="70" t="s">
        <v>62</v>
      </c>
      <c r="E142" s="78">
        <f>E9</f>
        <v>1.6399999999999998E-2</v>
      </c>
      <c r="F142" s="69">
        <f>C142*E142</f>
        <v>0.16399999999999998</v>
      </c>
      <c r="G142" s="69"/>
      <c r="H142" s="69"/>
    </row>
    <row r="143" spans="1:8" ht="16.149999999999999" customHeight="1">
      <c r="A143" s="68"/>
      <c r="B143" s="69" t="s">
        <v>294</v>
      </c>
      <c r="C143" s="69">
        <v>3.5000000000000003E-2</v>
      </c>
      <c r="D143" s="70" t="s">
        <v>20</v>
      </c>
      <c r="E143" s="78">
        <f>E135</f>
        <v>9.2149999999999999</v>
      </c>
      <c r="F143" s="73">
        <f t="shared" ref="F143:F144" si="12">C143*E143</f>
        <v>0.32252500000000001</v>
      </c>
      <c r="G143" s="69"/>
      <c r="H143" s="69"/>
    </row>
    <row r="144" spans="1:8" ht="16.149999999999999" customHeight="1">
      <c r="A144" s="68"/>
      <c r="B144" s="69" t="s">
        <v>295</v>
      </c>
      <c r="C144" s="69">
        <v>3.5000000000000003E-2</v>
      </c>
      <c r="D144" s="70" t="s">
        <v>20</v>
      </c>
      <c r="E144" s="77">
        <f>E136</f>
        <v>150</v>
      </c>
      <c r="F144" s="73">
        <f t="shared" si="12"/>
        <v>5.2500000000000009</v>
      </c>
      <c r="G144" s="69"/>
      <c r="H144" s="69"/>
    </row>
    <row r="145" spans="1:8" ht="16.149999999999999" customHeight="1">
      <c r="A145" s="68"/>
      <c r="B145" s="69"/>
      <c r="C145" s="69"/>
      <c r="D145" s="70"/>
      <c r="E145" s="69"/>
      <c r="F145" s="100">
        <f>SUM(F140:F144)/10</f>
        <v>11.934264500000001</v>
      </c>
      <c r="G145" s="69"/>
      <c r="H145" s="69"/>
    </row>
    <row r="146" spans="1:8" ht="16.149999999999999" customHeight="1">
      <c r="A146" s="68"/>
      <c r="B146" s="69"/>
      <c r="C146" s="69"/>
      <c r="D146" s="70"/>
      <c r="E146" s="69"/>
      <c r="F146" s="73">
        <f>SUM(F139:F144)</f>
        <v>182.04264499999999</v>
      </c>
      <c r="G146" s="69"/>
      <c r="H146" s="69"/>
    </row>
    <row r="147" spans="1:8" ht="16.149999999999999" customHeight="1">
      <c r="A147" s="68"/>
      <c r="B147" s="69"/>
      <c r="C147" s="69"/>
      <c r="D147" s="70"/>
      <c r="E147" s="69"/>
      <c r="F147" s="101">
        <f>SUM(F139,F145)</f>
        <v>74.6342645</v>
      </c>
      <c r="G147" s="69"/>
      <c r="H147" s="69"/>
    </row>
    <row r="148" spans="1:8" ht="16.149999999999999" customHeight="1">
      <c r="A148" s="68">
        <v>5.5</v>
      </c>
      <c r="B148" s="69" t="s">
        <v>296</v>
      </c>
      <c r="C148" s="70" t="s">
        <v>84</v>
      </c>
      <c r="D148" s="70" t="s">
        <v>6</v>
      </c>
      <c r="E148" s="70" t="s">
        <v>251</v>
      </c>
      <c r="F148" s="71" t="s">
        <v>92</v>
      </c>
      <c r="G148" s="70" t="s">
        <v>251</v>
      </c>
      <c r="H148" s="70" t="s">
        <v>221</v>
      </c>
    </row>
    <row r="149" spans="1:8" ht="16.149999999999999" customHeight="1">
      <c r="A149" s="68"/>
      <c r="B149" s="69" t="s">
        <v>309</v>
      </c>
      <c r="C149" s="73">
        <v>1.1000000000000001</v>
      </c>
      <c r="D149" s="70" t="s">
        <v>292</v>
      </c>
      <c r="E149" s="74">
        <v>151.4</v>
      </c>
      <c r="F149" s="73">
        <f t="shared" ref="F149:F153" si="13">C149*E149</f>
        <v>166.54000000000002</v>
      </c>
      <c r="G149" s="69"/>
      <c r="H149" s="69" t="s">
        <v>307</v>
      </c>
    </row>
    <row r="150" spans="1:8" ht="16.149999999999999" customHeight="1">
      <c r="A150" s="68"/>
      <c r="B150" s="69" t="s">
        <v>293</v>
      </c>
      <c r="C150" s="69">
        <v>21.51</v>
      </c>
      <c r="D150" s="70" t="s">
        <v>20</v>
      </c>
      <c r="E150" s="69">
        <f>E26</f>
        <v>2.6819999999999999</v>
      </c>
      <c r="F150" s="73">
        <f t="shared" si="13"/>
        <v>57.689820000000005</v>
      </c>
      <c r="G150" s="69"/>
      <c r="H150" s="69" t="s">
        <v>308</v>
      </c>
    </row>
    <row r="151" spans="1:8" ht="16.149999999999999" customHeight="1">
      <c r="A151" s="68"/>
      <c r="B151" s="69" t="s">
        <v>297</v>
      </c>
      <c r="C151" s="73">
        <v>0.2</v>
      </c>
      <c r="D151" s="70" t="s">
        <v>20</v>
      </c>
      <c r="E151" s="73">
        <v>55</v>
      </c>
      <c r="F151" s="73">
        <f t="shared" si="13"/>
        <v>11</v>
      </c>
      <c r="G151" s="69"/>
      <c r="H151" s="69"/>
    </row>
    <row r="152" spans="1:8" ht="16.149999999999999" customHeight="1">
      <c r="A152" s="68"/>
      <c r="B152" s="69" t="s">
        <v>57</v>
      </c>
      <c r="C152" s="69">
        <v>0.11</v>
      </c>
      <c r="D152" s="70" t="s">
        <v>58</v>
      </c>
      <c r="E152" s="73">
        <f>E7</f>
        <v>508.33</v>
      </c>
      <c r="F152" s="73">
        <f t="shared" si="13"/>
        <v>55.9163</v>
      </c>
      <c r="G152" s="69"/>
      <c r="H152" s="69"/>
    </row>
    <row r="153" spans="1:8" ht="16.149999999999999" customHeight="1">
      <c r="A153" s="68"/>
      <c r="B153" s="69" t="s">
        <v>64</v>
      </c>
      <c r="C153" s="73">
        <v>10</v>
      </c>
      <c r="D153" s="70" t="s">
        <v>62</v>
      </c>
      <c r="E153" s="69">
        <f>16.4/1000</f>
        <v>1.6399999999999998E-2</v>
      </c>
      <c r="F153" s="69">
        <f t="shared" si="13"/>
        <v>0.16399999999999998</v>
      </c>
      <c r="G153" s="69"/>
      <c r="H153" s="69"/>
    </row>
    <row r="154" spans="1:8" ht="16.149999999999999" customHeight="1">
      <c r="A154" s="68"/>
      <c r="B154" s="69"/>
      <c r="C154" s="69"/>
      <c r="D154" s="70"/>
      <c r="E154" s="69"/>
      <c r="F154" s="75">
        <f>SUM(F149:F153)</f>
        <v>291.31011999999998</v>
      </c>
      <c r="G154" s="69"/>
      <c r="H154" s="69"/>
    </row>
    <row r="155" spans="1:8" ht="16.149999999999999" customHeight="1">
      <c r="A155" s="68">
        <v>5.6</v>
      </c>
      <c r="B155" s="69" t="s">
        <v>296</v>
      </c>
      <c r="C155" s="70" t="s">
        <v>84</v>
      </c>
      <c r="D155" s="70" t="s">
        <v>6</v>
      </c>
      <c r="E155" s="70" t="s">
        <v>251</v>
      </c>
      <c r="F155" s="71" t="s">
        <v>92</v>
      </c>
      <c r="G155" s="70" t="s">
        <v>251</v>
      </c>
      <c r="H155" s="70" t="s">
        <v>221</v>
      </c>
    </row>
    <row r="156" spans="1:8" ht="16.149999999999999" customHeight="1">
      <c r="A156" s="68"/>
      <c r="B156" s="69" t="s">
        <v>309</v>
      </c>
      <c r="C156" s="73">
        <v>1.1000000000000001</v>
      </c>
      <c r="D156" s="70" t="s">
        <v>292</v>
      </c>
      <c r="E156" s="77">
        <f>E149</f>
        <v>151.4</v>
      </c>
      <c r="F156" s="73">
        <f t="shared" ref="F156:F159" si="14">C156*E156</f>
        <v>166.54000000000002</v>
      </c>
      <c r="G156" s="69"/>
      <c r="H156" s="69"/>
    </row>
    <row r="157" spans="1:8" ht="16.149999999999999" customHeight="1">
      <c r="A157" s="68"/>
      <c r="B157" s="69" t="s">
        <v>298</v>
      </c>
      <c r="C157" s="69">
        <v>5.25</v>
      </c>
      <c r="D157" s="70" t="s">
        <v>20</v>
      </c>
      <c r="E157" s="73">
        <f>162/20</f>
        <v>8.1</v>
      </c>
      <c r="F157" s="73">
        <f t="shared" si="14"/>
        <v>42.524999999999999</v>
      </c>
      <c r="G157" s="69"/>
      <c r="H157" s="69" t="s">
        <v>299</v>
      </c>
    </row>
    <row r="158" spans="1:8" ht="16.149999999999999" customHeight="1">
      <c r="A158" s="68"/>
      <c r="B158" s="69" t="s">
        <v>297</v>
      </c>
      <c r="C158" s="73">
        <v>0.2</v>
      </c>
      <c r="D158" s="70" t="s">
        <v>20</v>
      </c>
      <c r="E158" s="73">
        <v>55</v>
      </c>
      <c r="F158" s="73">
        <f t="shared" si="14"/>
        <v>11</v>
      </c>
      <c r="G158" s="69"/>
      <c r="H158" s="69"/>
    </row>
    <row r="159" spans="1:8" ht="16.149999999999999" customHeight="1">
      <c r="A159" s="68"/>
      <c r="B159" s="69" t="s">
        <v>64</v>
      </c>
      <c r="C159" s="73">
        <v>10</v>
      </c>
      <c r="D159" s="70" t="s">
        <v>62</v>
      </c>
      <c r="E159" s="69">
        <f>16.4/1000</f>
        <v>1.6399999999999998E-2</v>
      </c>
      <c r="F159" s="69">
        <f t="shared" si="14"/>
        <v>0.16399999999999998</v>
      </c>
      <c r="G159" s="69"/>
      <c r="H159" s="69"/>
    </row>
    <row r="160" spans="1:8" ht="16.149999999999999" customHeight="1">
      <c r="A160" s="68"/>
      <c r="B160" s="69"/>
      <c r="C160" s="69"/>
      <c r="D160" s="70"/>
      <c r="E160" s="69"/>
      <c r="F160" s="75">
        <f>SUM(F156:F159)</f>
        <v>220.22900000000001</v>
      </c>
      <c r="G160" s="69"/>
      <c r="H160" s="69"/>
    </row>
    <row r="161" spans="1:8" ht="16.149999999999999" customHeight="1">
      <c r="A161" s="68">
        <v>5.7</v>
      </c>
      <c r="B161" s="69" t="s">
        <v>208</v>
      </c>
      <c r="C161" s="69"/>
      <c r="D161" s="70"/>
      <c r="E161" s="69"/>
      <c r="F161" s="69"/>
      <c r="G161" s="69"/>
      <c r="H161" s="69"/>
    </row>
    <row r="162" spans="1:8" ht="16.149999999999999" customHeight="1">
      <c r="A162" s="68"/>
      <c r="B162" s="69" t="s">
        <v>293</v>
      </c>
      <c r="C162" s="69">
        <v>20.02</v>
      </c>
      <c r="D162" s="70" t="s">
        <v>20</v>
      </c>
      <c r="E162" s="78">
        <f>E26</f>
        <v>2.6819999999999999</v>
      </c>
      <c r="F162" s="73">
        <f>C162*E162</f>
        <v>53.693639999999995</v>
      </c>
      <c r="G162" s="69"/>
      <c r="H162" s="69"/>
    </row>
    <row r="163" spans="1:8" ht="16.149999999999999" customHeight="1">
      <c r="A163" s="68"/>
      <c r="B163" s="69" t="s">
        <v>57</v>
      </c>
      <c r="C163" s="69">
        <v>0.11</v>
      </c>
      <c r="D163" s="70" t="s">
        <v>58</v>
      </c>
      <c r="E163" s="77">
        <f>E7</f>
        <v>508.33</v>
      </c>
      <c r="F163" s="73">
        <f>C163*E163</f>
        <v>55.9163</v>
      </c>
      <c r="G163" s="69"/>
      <c r="H163" s="69"/>
    </row>
    <row r="164" spans="1:8" ht="16.149999999999999" customHeight="1">
      <c r="A164" s="68"/>
      <c r="B164" s="69" t="s">
        <v>64</v>
      </c>
      <c r="C164" s="69">
        <v>6</v>
      </c>
      <c r="D164" s="70" t="s">
        <v>62</v>
      </c>
      <c r="E164" s="78">
        <f>E9</f>
        <v>1.6399999999999998E-2</v>
      </c>
      <c r="F164" s="69">
        <f>C164*E164</f>
        <v>9.8399999999999987E-2</v>
      </c>
      <c r="G164" s="69"/>
      <c r="H164" s="69"/>
    </row>
    <row r="165" spans="1:8" ht="16.149999999999999" customHeight="1">
      <c r="A165" s="68"/>
      <c r="B165" s="69"/>
      <c r="C165" s="69"/>
      <c r="D165" s="70"/>
      <c r="E165" s="69"/>
      <c r="F165" s="75">
        <f>SUM(F162:F164)</f>
        <v>109.70833999999999</v>
      </c>
      <c r="G165" s="69"/>
      <c r="H165" s="69"/>
    </row>
    <row r="166" spans="1:8" ht="16.149999999999999" customHeight="1">
      <c r="A166" s="68"/>
      <c r="B166" s="69"/>
      <c r="C166" s="69"/>
      <c r="D166" s="70"/>
      <c r="E166" s="69"/>
      <c r="F166" s="84"/>
      <c r="G166" s="69"/>
      <c r="H166" s="69"/>
    </row>
    <row r="167" spans="1:8" ht="16.149999999999999" customHeight="1">
      <c r="A167" s="62">
        <v>6</v>
      </c>
      <c r="B167" s="63" t="s">
        <v>300</v>
      </c>
      <c r="C167" s="69"/>
      <c r="D167" s="70"/>
      <c r="E167" s="69"/>
      <c r="F167" s="69"/>
      <c r="G167" s="69"/>
      <c r="H167" s="69"/>
    </row>
    <row r="168" spans="1:8" ht="16.149999999999999" customHeight="1">
      <c r="A168" s="68">
        <v>6.1</v>
      </c>
      <c r="B168" s="69" t="s">
        <v>227</v>
      </c>
      <c r="C168" s="70" t="s">
        <v>84</v>
      </c>
      <c r="D168" s="70" t="s">
        <v>6</v>
      </c>
      <c r="E168" s="70" t="s">
        <v>251</v>
      </c>
      <c r="F168" s="71" t="s">
        <v>92</v>
      </c>
      <c r="G168" s="70" t="s">
        <v>251</v>
      </c>
      <c r="H168" s="70" t="s">
        <v>221</v>
      </c>
    </row>
    <row r="169" spans="1:8" ht="16.149999999999999" customHeight="1">
      <c r="A169" s="68"/>
      <c r="B169" s="69" t="s">
        <v>86</v>
      </c>
      <c r="C169" s="73">
        <f>137.77*(1.05+1.05)</f>
        <v>289.31700000000001</v>
      </c>
      <c r="D169" s="70" t="s">
        <v>19</v>
      </c>
      <c r="E169" s="73">
        <f>F23</f>
        <v>334.18695454545457</v>
      </c>
      <c r="F169" s="73">
        <f t="shared" ref="F169:F174" si="15">C169*E169</f>
        <v>96685.967128227276</v>
      </c>
      <c r="G169" s="73">
        <v>133</v>
      </c>
      <c r="H169" s="73">
        <f>C169*G169</f>
        <v>38479.161</v>
      </c>
    </row>
    <row r="170" spans="1:8" ht="16.149999999999999" customHeight="1">
      <c r="A170" s="68"/>
      <c r="B170" s="69" t="s">
        <v>85</v>
      </c>
      <c r="C170" s="73">
        <f>137.77*1.05*0.12</f>
        <v>17.359020000000001</v>
      </c>
      <c r="D170" s="70" t="s">
        <v>58</v>
      </c>
      <c r="E170" s="77">
        <f>E38</f>
        <v>2470.6</v>
      </c>
      <c r="F170" s="73">
        <f t="shared" si="15"/>
        <v>42887.194812000002</v>
      </c>
      <c r="G170" s="73">
        <v>485</v>
      </c>
      <c r="H170" s="73">
        <f t="shared" ref="H170:H174" si="16">C170*G170</f>
        <v>8419.1247000000003</v>
      </c>
    </row>
    <row r="171" spans="1:8" ht="16.149999999999999" customHeight="1">
      <c r="A171" s="68"/>
      <c r="B171" s="69" t="s">
        <v>259</v>
      </c>
      <c r="C171" s="73">
        <f>((1.05/0.25)+1)*137.77*0.222*1.05</f>
        <v>166.99377240000004</v>
      </c>
      <c r="D171" s="70" t="s">
        <v>20</v>
      </c>
      <c r="E171" s="77">
        <f>E49</f>
        <v>22.25</v>
      </c>
      <c r="F171" s="73">
        <f t="shared" si="15"/>
        <v>3715.6114359000007</v>
      </c>
      <c r="G171" s="73">
        <v>4.0999999999999996</v>
      </c>
      <c r="H171" s="73">
        <f t="shared" si="16"/>
        <v>684.67446684000015</v>
      </c>
    </row>
    <row r="172" spans="1:8" ht="16.149999999999999" customHeight="1">
      <c r="A172" s="68"/>
      <c r="B172" s="69" t="s">
        <v>260</v>
      </c>
      <c r="C172" s="73">
        <f>((137.77/0.2)+1)*1.05*0.499*1.07</f>
        <v>386.7481910250001</v>
      </c>
      <c r="D172" s="70" t="s">
        <v>20</v>
      </c>
      <c r="E172" s="78">
        <f>E50</f>
        <v>21.5</v>
      </c>
      <c r="F172" s="73">
        <f t="shared" si="15"/>
        <v>8315.0861070375013</v>
      </c>
      <c r="G172" s="73">
        <v>4.0999999999999996</v>
      </c>
      <c r="H172" s="73">
        <f t="shared" si="16"/>
        <v>1585.6675832025003</v>
      </c>
    </row>
    <row r="173" spans="1:8" ht="16.149999999999999" customHeight="1">
      <c r="A173" s="68"/>
      <c r="B173" s="69" t="s">
        <v>66</v>
      </c>
      <c r="C173" s="73">
        <f>SUM(C171:C172)/1000*30</f>
        <v>16.612258902750003</v>
      </c>
      <c r="D173" s="70" t="s">
        <v>20</v>
      </c>
      <c r="E173" s="78">
        <f>E51</f>
        <v>25.83</v>
      </c>
      <c r="F173" s="73">
        <f t="shared" si="15"/>
        <v>429.09464745803257</v>
      </c>
      <c r="G173" s="69"/>
      <c r="H173" s="69"/>
    </row>
    <row r="174" spans="1:8" ht="16.149999999999999" customHeight="1">
      <c r="A174" s="68"/>
      <c r="B174" s="69" t="s">
        <v>226</v>
      </c>
      <c r="C174" s="73">
        <f>137.77*(1.05+1.05+0.12)</f>
        <v>305.84940000000006</v>
      </c>
      <c r="D174" s="70" t="s">
        <v>19</v>
      </c>
      <c r="E174" s="77">
        <f>F102</f>
        <v>93.187299999999993</v>
      </c>
      <c r="F174" s="73">
        <f t="shared" si="15"/>
        <v>28501.279792620004</v>
      </c>
      <c r="G174" s="73">
        <v>100</v>
      </c>
      <c r="H174" s="73">
        <f t="shared" si="16"/>
        <v>30584.940000000006</v>
      </c>
    </row>
    <row r="175" spans="1:8" ht="16.149999999999999" customHeight="1">
      <c r="A175" s="68"/>
      <c r="B175" s="69"/>
      <c r="C175" s="69"/>
      <c r="D175" s="70"/>
      <c r="E175" s="69"/>
      <c r="F175" s="73">
        <f>SUM(F169:F174)</f>
        <v>180534.23392324281</v>
      </c>
      <c r="G175" s="69"/>
      <c r="H175" s="73">
        <f>SUM(H169:H173)</f>
        <v>49168.627750042499</v>
      </c>
    </row>
    <row r="176" spans="1:8" ht="16.149999999999999" customHeight="1">
      <c r="A176" s="68"/>
      <c r="B176" s="69"/>
      <c r="C176" s="69"/>
      <c r="D176" s="70"/>
      <c r="E176" s="69"/>
      <c r="F176" s="85">
        <f>F175/144.66</f>
        <v>1247.9900036170525</v>
      </c>
      <c r="G176" s="69"/>
      <c r="H176" s="85">
        <f>H175/144.66</f>
        <v>339.89097020629407</v>
      </c>
    </row>
    <row r="177" spans="1:8" ht="16.149999999999999" customHeight="1">
      <c r="A177" s="68"/>
      <c r="B177" s="69"/>
      <c r="C177" s="69"/>
      <c r="D177" s="70"/>
      <c r="E177" s="69"/>
      <c r="F177" s="90"/>
      <c r="G177" s="69"/>
      <c r="H177" s="90"/>
    </row>
    <row r="178" spans="1:8" ht="16.149999999999999" customHeight="1">
      <c r="A178" s="68">
        <v>6.2</v>
      </c>
      <c r="B178" s="69" t="s">
        <v>228</v>
      </c>
      <c r="C178" s="70" t="s">
        <v>84</v>
      </c>
      <c r="D178" s="70" t="s">
        <v>6</v>
      </c>
      <c r="E178" s="70" t="s">
        <v>251</v>
      </c>
      <c r="F178" s="71" t="s">
        <v>92</v>
      </c>
      <c r="G178" s="70" t="s">
        <v>251</v>
      </c>
      <c r="H178" s="70" t="s">
        <v>221</v>
      </c>
    </row>
    <row r="179" spans="1:8" ht="16.149999999999999" customHeight="1">
      <c r="A179" s="68"/>
      <c r="B179" s="69" t="s">
        <v>86</v>
      </c>
      <c r="C179" s="69">
        <f>0.5*3.6*10.2*4*2</f>
        <v>146.88</v>
      </c>
      <c r="D179" s="70" t="s">
        <v>19</v>
      </c>
      <c r="E179" s="73">
        <f>E169</f>
        <v>334.18695454545457</v>
      </c>
      <c r="F179" s="73">
        <f t="shared" ref="F179:F184" si="17">C179*E179</f>
        <v>49085.379883636364</v>
      </c>
      <c r="G179" s="73">
        <v>133</v>
      </c>
      <c r="H179" s="73">
        <f>C179*G179</f>
        <v>19535.04</v>
      </c>
    </row>
    <row r="180" spans="1:8" ht="16.149999999999999" customHeight="1">
      <c r="A180" s="68"/>
      <c r="B180" s="69" t="s">
        <v>65</v>
      </c>
      <c r="C180" s="73">
        <f>0.5*3.6*10.2*4*0.12</f>
        <v>8.8127999999999993</v>
      </c>
      <c r="D180" s="70" t="s">
        <v>58</v>
      </c>
      <c r="E180" s="77">
        <f>E38</f>
        <v>2470.6</v>
      </c>
      <c r="F180" s="73">
        <f t="shared" si="17"/>
        <v>21772.903679999996</v>
      </c>
      <c r="G180" s="73">
        <v>485</v>
      </c>
      <c r="H180" s="73">
        <f t="shared" ref="H180:H182" si="18">C180*G180</f>
        <v>4274.2079999999996</v>
      </c>
    </row>
    <row r="181" spans="1:8" ht="16.149999999999999" customHeight="1">
      <c r="A181" s="68"/>
      <c r="B181" s="69" t="s">
        <v>259</v>
      </c>
      <c r="C181" s="73">
        <f>166.99*73.4/144.66</f>
        <v>84.730167288815153</v>
      </c>
      <c r="D181" s="70" t="s">
        <v>20</v>
      </c>
      <c r="E181" s="77">
        <f>E49</f>
        <v>22.25</v>
      </c>
      <c r="F181" s="73">
        <f t="shared" si="17"/>
        <v>1885.2462221761371</v>
      </c>
      <c r="G181" s="73">
        <v>4.0999999999999996</v>
      </c>
      <c r="H181" s="73">
        <f t="shared" si="18"/>
        <v>347.39368588414209</v>
      </c>
    </row>
    <row r="182" spans="1:8" ht="16.149999999999999" customHeight="1">
      <c r="A182" s="68"/>
      <c r="B182" s="69" t="s">
        <v>260</v>
      </c>
      <c r="C182" s="73">
        <f>386.75*73.4/144.66</f>
        <v>196.23565602101479</v>
      </c>
      <c r="D182" s="70" t="s">
        <v>20</v>
      </c>
      <c r="E182" s="78">
        <f>E50</f>
        <v>21.5</v>
      </c>
      <c r="F182" s="73">
        <f t="shared" si="17"/>
        <v>4219.0666044518184</v>
      </c>
      <c r="G182" s="73">
        <v>4.0999999999999996</v>
      </c>
      <c r="H182" s="73">
        <f t="shared" si="18"/>
        <v>804.56618968616056</v>
      </c>
    </row>
    <row r="183" spans="1:8" ht="16.149999999999999" customHeight="1">
      <c r="A183" s="68"/>
      <c r="B183" s="69" t="s">
        <v>66</v>
      </c>
      <c r="C183" s="73">
        <f>SUM(C181:C182)/1000*30</f>
        <v>8.4289746992948977</v>
      </c>
      <c r="D183" s="70" t="s">
        <v>20</v>
      </c>
      <c r="E183" s="78">
        <f>E51</f>
        <v>25.83</v>
      </c>
      <c r="F183" s="73">
        <f t="shared" si="17"/>
        <v>217.72041648278719</v>
      </c>
      <c r="G183" s="69"/>
      <c r="H183" s="69"/>
    </row>
    <row r="184" spans="1:8" ht="16.149999999999999" customHeight="1">
      <c r="A184" s="68"/>
      <c r="B184" s="69" t="s">
        <v>226</v>
      </c>
      <c r="C184" s="73">
        <f>0.5*3.6*10.2*4</f>
        <v>73.44</v>
      </c>
      <c r="D184" s="70" t="s">
        <v>19</v>
      </c>
      <c r="E184" s="77">
        <f>F102</f>
        <v>93.187299999999993</v>
      </c>
      <c r="F184" s="73">
        <f t="shared" si="17"/>
        <v>6843.6753119999994</v>
      </c>
      <c r="G184" s="73">
        <v>100</v>
      </c>
      <c r="H184" s="73">
        <f t="shared" ref="H184" si="19">C184*G184</f>
        <v>7344</v>
      </c>
    </row>
    <row r="185" spans="1:8" ht="16.149999999999999" customHeight="1">
      <c r="A185" s="68"/>
      <c r="B185" s="69"/>
      <c r="C185" s="69"/>
      <c r="D185" s="70"/>
      <c r="E185" s="69"/>
      <c r="F185" s="73">
        <f>SUM(F179:F183)</f>
        <v>77180.316806747098</v>
      </c>
      <c r="G185" s="69"/>
      <c r="H185" s="73">
        <f>SUM(H184,H179:H182)</f>
        <v>32305.207875570301</v>
      </c>
    </row>
    <row r="186" spans="1:8" ht="16.149999999999999" customHeight="1">
      <c r="A186" s="68"/>
      <c r="B186" s="69"/>
      <c r="C186" s="69"/>
      <c r="D186" s="70"/>
      <c r="E186" s="69"/>
      <c r="F186" s="75">
        <f>F185/73.4</f>
        <v>1051.5029537703963</v>
      </c>
      <c r="G186" s="69"/>
      <c r="H186" s="85">
        <f>H185/73.4</f>
        <v>440.12544789605312</v>
      </c>
    </row>
    <row r="187" spans="1:8" ht="16.149999999999999" customHeight="1">
      <c r="A187" s="68"/>
      <c r="B187" s="69"/>
      <c r="C187" s="69"/>
      <c r="D187" s="70"/>
      <c r="E187" s="69"/>
      <c r="F187" s="75"/>
      <c r="G187" s="69"/>
      <c r="H187" s="85"/>
    </row>
    <row r="188" spans="1:8" ht="16.149999999999999" customHeight="1">
      <c r="A188" s="95">
        <v>6.3</v>
      </c>
      <c r="B188" s="69" t="s">
        <v>301</v>
      </c>
      <c r="C188" s="70" t="s">
        <v>84</v>
      </c>
      <c r="D188" s="70" t="s">
        <v>6</v>
      </c>
      <c r="E188" s="70" t="s">
        <v>251</v>
      </c>
      <c r="F188" s="71" t="s">
        <v>92</v>
      </c>
      <c r="G188" s="70" t="s">
        <v>251</v>
      </c>
      <c r="H188" s="70" t="s">
        <v>221</v>
      </c>
    </row>
    <row r="189" spans="1:8" ht="16.149999999999999" customHeight="1">
      <c r="A189" s="68"/>
      <c r="B189" s="69" t="s">
        <v>302</v>
      </c>
      <c r="C189" s="69">
        <v>138</v>
      </c>
      <c r="D189" s="70" t="s">
        <v>68</v>
      </c>
      <c r="E189" s="74">
        <v>1.1200000000000001</v>
      </c>
      <c r="F189" s="73">
        <f>C189*E189</f>
        <v>154.56</v>
      </c>
      <c r="G189" s="69"/>
      <c r="H189" s="69"/>
    </row>
    <row r="190" spans="1:8" ht="16.149999999999999" customHeight="1">
      <c r="A190" s="68"/>
      <c r="B190" s="69" t="s">
        <v>293</v>
      </c>
      <c r="C190" s="69">
        <v>16.010000000000002</v>
      </c>
      <c r="D190" s="70" t="s">
        <v>20</v>
      </c>
      <c r="E190" s="69">
        <f>E26</f>
        <v>2.6819999999999999</v>
      </c>
      <c r="F190" s="73">
        <f>C190*E190</f>
        <v>42.93882</v>
      </c>
      <c r="G190" s="69"/>
      <c r="H190" s="69"/>
    </row>
    <row r="191" spans="1:8" ht="16.149999999999999" customHeight="1">
      <c r="A191" s="68"/>
      <c r="B191" s="69" t="s">
        <v>195</v>
      </c>
      <c r="C191" s="73">
        <v>0.4</v>
      </c>
      <c r="D191" s="70" t="s">
        <v>62</v>
      </c>
      <c r="E191" s="74">
        <f>409/5</f>
        <v>81.8</v>
      </c>
      <c r="F191" s="73">
        <f>C191*E191</f>
        <v>32.72</v>
      </c>
      <c r="G191" s="69"/>
      <c r="H191" s="69"/>
    </row>
    <row r="192" spans="1:8" ht="16.149999999999999" customHeight="1">
      <c r="A192" s="68"/>
      <c r="B192" s="69" t="s">
        <v>57</v>
      </c>
      <c r="C192" s="69">
        <v>0.05</v>
      </c>
      <c r="D192" s="70" t="s">
        <v>58</v>
      </c>
      <c r="E192" s="73">
        <f>E7</f>
        <v>508.33</v>
      </c>
      <c r="F192" s="73">
        <f>C192*E192</f>
        <v>25.416499999999999</v>
      </c>
      <c r="G192" s="69"/>
      <c r="H192" s="69"/>
    </row>
    <row r="193" spans="1:8" ht="16.149999999999999" customHeight="1">
      <c r="A193" s="68"/>
      <c r="B193" s="69" t="s">
        <v>64</v>
      </c>
      <c r="C193" s="69">
        <v>10</v>
      </c>
      <c r="D193" s="70" t="s">
        <v>62</v>
      </c>
      <c r="E193" s="69">
        <f>16.4/1000</f>
        <v>1.6399999999999998E-2</v>
      </c>
      <c r="F193" s="69">
        <f>C193*E193</f>
        <v>0.16399999999999998</v>
      </c>
      <c r="G193" s="69"/>
      <c r="H193" s="69"/>
    </row>
    <row r="194" spans="1:8" ht="16.149999999999999" customHeight="1">
      <c r="A194" s="68"/>
      <c r="B194" s="69"/>
      <c r="C194" s="69"/>
      <c r="D194" s="70"/>
      <c r="E194" s="69"/>
      <c r="F194" s="75">
        <f>SUM(F189:F193)</f>
        <v>255.79931999999997</v>
      </c>
      <c r="G194" s="69"/>
      <c r="H194" s="69"/>
    </row>
    <row r="195" spans="1:8" ht="16.149999999999999" customHeight="1">
      <c r="A195" s="68"/>
      <c r="B195" s="69"/>
      <c r="C195" s="69"/>
      <c r="D195" s="70"/>
      <c r="E195" s="69"/>
      <c r="F195" s="75"/>
      <c r="G195" s="69"/>
      <c r="H195" s="69"/>
    </row>
    <row r="196" spans="1:8" ht="16.149999999999999" customHeight="1">
      <c r="A196" s="95">
        <v>6.4</v>
      </c>
      <c r="B196" s="69" t="s">
        <v>303</v>
      </c>
      <c r="C196" s="70" t="s">
        <v>84</v>
      </c>
      <c r="D196" s="70" t="s">
        <v>6</v>
      </c>
      <c r="E196" s="70" t="s">
        <v>251</v>
      </c>
      <c r="F196" s="71" t="s">
        <v>92</v>
      </c>
      <c r="G196" s="70" t="s">
        <v>251</v>
      </c>
      <c r="H196" s="70" t="s">
        <v>221</v>
      </c>
    </row>
    <row r="197" spans="1:8" ht="15.65" customHeight="1">
      <c r="A197" s="68"/>
      <c r="B197" s="69" t="s">
        <v>293</v>
      </c>
      <c r="C197" s="69">
        <v>12.05</v>
      </c>
      <c r="D197" s="70" t="s">
        <v>20</v>
      </c>
      <c r="E197" s="69">
        <f>E26</f>
        <v>2.6819999999999999</v>
      </c>
      <c r="F197" s="73">
        <f>C197*E197</f>
        <v>32.318100000000001</v>
      </c>
      <c r="G197" s="69"/>
      <c r="H197" s="69"/>
    </row>
    <row r="198" spans="1:8" ht="16.149999999999999" customHeight="1">
      <c r="A198" s="68"/>
      <c r="B198" s="69" t="s">
        <v>304</v>
      </c>
      <c r="C198" s="73">
        <v>0.5</v>
      </c>
      <c r="D198" s="70" t="s">
        <v>62</v>
      </c>
      <c r="E198" s="73">
        <f>409/5</f>
        <v>81.8</v>
      </c>
      <c r="F198" s="73">
        <f>C198*E198</f>
        <v>40.9</v>
      </c>
      <c r="G198" s="69"/>
      <c r="H198" s="69" t="s">
        <v>305</v>
      </c>
    </row>
    <row r="199" spans="1:8" ht="16.149999999999999" customHeight="1">
      <c r="A199" s="68"/>
      <c r="B199" s="69" t="s">
        <v>63</v>
      </c>
      <c r="C199" s="69">
        <v>0.04</v>
      </c>
      <c r="D199" s="70" t="s">
        <v>58</v>
      </c>
      <c r="E199" s="74">
        <f>E100</f>
        <v>498</v>
      </c>
      <c r="F199" s="73">
        <f>C199*E199</f>
        <v>19.920000000000002</v>
      </c>
      <c r="G199" s="69"/>
      <c r="H199" s="69"/>
    </row>
    <row r="200" spans="1:8" ht="16.149999999999999" customHeight="1">
      <c r="A200" s="68"/>
      <c r="B200" s="69" t="s">
        <v>64</v>
      </c>
      <c r="C200" s="73">
        <v>3</v>
      </c>
      <c r="D200" s="70" t="s">
        <v>62</v>
      </c>
      <c r="E200" s="69">
        <f>16.4/1000</f>
        <v>1.6399999999999998E-2</v>
      </c>
      <c r="F200" s="69">
        <f>C200*E200</f>
        <v>4.9199999999999994E-2</v>
      </c>
      <c r="G200" s="69"/>
      <c r="H200" s="69"/>
    </row>
    <row r="201" spans="1:8" ht="16.149999999999999" customHeight="1">
      <c r="A201" s="68"/>
      <c r="B201" s="69"/>
      <c r="C201" s="69"/>
      <c r="D201" s="70"/>
      <c r="E201" s="69"/>
      <c r="F201" s="75">
        <f>SUM(F197:F200)</f>
        <v>93.187299999999993</v>
      </c>
      <c r="G201" s="69"/>
      <c r="H201" s="69"/>
    </row>
    <row r="202" spans="1:8" ht="16.149999999999999" customHeight="1">
      <c r="A202" s="68"/>
      <c r="B202" s="69"/>
      <c r="C202" s="69"/>
      <c r="D202" s="70"/>
      <c r="E202" s="69"/>
      <c r="F202" s="75"/>
      <c r="G202" s="69"/>
      <c r="H202" s="69"/>
    </row>
    <row r="203" spans="1:8" ht="16.149999999999999" customHeight="1">
      <c r="A203" s="68"/>
      <c r="B203" s="69"/>
      <c r="C203" s="69"/>
      <c r="D203" s="70"/>
      <c r="E203" s="69"/>
      <c r="F203" s="75"/>
      <c r="G203" s="69"/>
      <c r="H203" s="69"/>
    </row>
    <row r="204" spans="1:8" ht="16.149999999999999" customHeight="1">
      <c r="A204" s="68"/>
      <c r="B204" s="69"/>
      <c r="C204" s="69"/>
      <c r="D204" s="70"/>
      <c r="E204" s="69"/>
      <c r="F204" s="84"/>
      <c r="G204" s="69"/>
      <c r="H204" s="69"/>
    </row>
    <row r="205" spans="1:8" ht="16.149999999999999" customHeight="1">
      <c r="A205" s="68">
        <v>6.5</v>
      </c>
      <c r="B205" s="69" t="s">
        <v>229</v>
      </c>
      <c r="C205" s="69"/>
      <c r="D205" s="70"/>
      <c r="E205" s="69"/>
      <c r="F205" s="69"/>
      <c r="G205" s="69"/>
      <c r="H205" s="69"/>
    </row>
    <row r="206" spans="1:8" ht="16.149999999999999" customHeight="1">
      <c r="A206" s="68"/>
      <c r="B206" s="69" t="s">
        <v>293</v>
      </c>
      <c r="C206" s="69">
        <v>12.05</v>
      </c>
      <c r="D206" s="70" t="s">
        <v>20</v>
      </c>
      <c r="E206" s="69">
        <f>E26</f>
        <v>2.6819999999999999</v>
      </c>
      <c r="F206" s="73">
        <f>C206*E206</f>
        <v>32.318100000000001</v>
      </c>
      <c r="G206" s="69"/>
      <c r="H206" s="69"/>
    </row>
    <row r="207" spans="1:8" ht="16.149999999999999" customHeight="1">
      <c r="A207" s="68"/>
      <c r="B207" s="69" t="s">
        <v>304</v>
      </c>
      <c r="C207" s="73">
        <v>0.5</v>
      </c>
      <c r="D207" s="70" t="s">
        <v>62</v>
      </c>
      <c r="E207" s="73">
        <f>409/5</f>
        <v>81.8</v>
      </c>
      <c r="F207" s="73">
        <f>C207*E207</f>
        <v>40.9</v>
      </c>
      <c r="G207" s="69"/>
      <c r="H207" s="69" t="s">
        <v>305</v>
      </c>
    </row>
    <row r="208" spans="1:8" ht="16.149999999999999" customHeight="1">
      <c r="A208" s="68"/>
      <c r="B208" s="69" t="s">
        <v>63</v>
      </c>
      <c r="C208" s="69">
        <v>0.04</v>
      </c>
      <c r="D208" s="70" t="s">
        <v>58</v>
      </c>
      <c r="E208" s="73">
        <f>E199</f>
        <v>498</v>
      </c>
      <c r="F208" s="73">
        <f>C208*E208</f>
        <v>19.920000000000002</v>
      </c>
      <c r="G208" s="69"/>
      <c r="H208" s="69"/>
    </row>
    <row r="209" spans="1:8" ht="16.149999999999999" customHeight="1">
      <c r="A209" s="68"/>
      <c r="B209" s="69" t="s">
        <v>64</v>
      </c>
      <c r="C209" s="69">
        <v>3</v>
      </c>
      <c r="D209" s="70" t="s">
        <v>62</v>
      </c>
      <c r="E209" s="69">
        <f>16.4/1000</f>
        <v>1.6399999999999998E-2</v>
      </c>
      <c r="F209" s="69">
        <f>C209*E209</f>
        <v>4.9199999999999994E-2</v>
      </c>
      <c r="G209" s="69"/>
      <c r="H209" s="69"/>
    </row>
    <row r="210" spans="1:8" ht="16.149999999999999" customHeight="1">
      <c r="A210" s="68"/>
      <c r="B210" s="69"/>
      <c r="C210" s="69"/>
      <c r="D210" s="70"/>
      <c r="E210" s="69"/>
      <c r="F210" s="75">
        <f>SUM(F206:F209)</f>
        <v>93.187299999999993</v>
      </c>
      <c r="G210" s="69"/>
      <c r="H210" s="69"/>
    </row>
    <row r="211" spans="1:8" ht="16.149999999999999" customHeight="1">
      <c r="A211" s="68">
        <v>6.6</v>
      </c>
      <c r="B211" s="69" t="s">
        <v>306</v>
      </c>
      <c r="C211" s="70" t="s">
        <v>84</v>
      </c>
      <c r="D211" s="70" t="s">
        <v>6</v>
      </c>
      <c r="E211" s="70" t="s">
        <v>251</v>
      </c>
      <c r="F211" s="71" t="s">
        <v>92</v>
      </c>
      <c r="G211" s="70" t="s">
        <v>251</v>
      </c>
      <c r="H211" s="70" t="s">
        <v>221</v>
      </c>
    </row>
    <row r="212" spans="1:8" ht="16.149999999999999" customHeight="1">
      <c r="A212" s="68"/>
      <c r="B212" s="69" t="s">
        <v>310</v>
      </c>
      <c r="C212" s="69">
        <v>1.1200000000000001</v>
      </c>
      <c r="D212" s="70" t="s">
        <v>19</v>
      </c>
      <c r="E212" s="74">
        <f>E156</f>
        <v>151.4</v>
      </c>
      <c r="F212" s="73">
        <f t="shared" ref="F212:F214" si="20">C212*E212</f>
        <v>169.56800000000001</v>
      </c>
      <c r="G212" s="69"/>
      <c r="H212" s="69"/>
    </row>
    <row r="213" spans="1:8" ht="16.149999999999999" customHeight="1">
      <c r="A213" s="68"/>
      <c r="B213" s="69" t="s">
        <v>298</v>
      </c>
      <c r="C213" s="69">
        <v>5.25</v>
      </c>
      <c r="D213" s="70" t="s">
        <v>20</v>
      </c>
      <c r="E213" s="73">
        <f>162/20</f>
        <v>8.1</v>
      </c>
      <c r="F213" s="73">
        <f t="shared" si="20"/>
        <v>42.524999999999999</v>
      </c>
      <c r="G213" s="69"/>
      <c r="H213" s="69" t="s">
        <v>299</v>
      </c>
    </row>
    <row r="214" spans="1:8" ht="16.149999999999999" customHeight="1">
      <c r="A214" s="68"/>
      <c r="B214" s="69" t="s">
        <v>297</v>
      </c>
      <c r="C214" s="73">
        <v>0.2</v>
      </c>
      <c r="D214" s="70" t="s">
        <v>20</v>
      </c>
      <c r="E214" s="73">
        <v>55</v>
      </c>
      <c r="F214" s="73">
        <f t="shared" si="20"/>
        <v>11</v>
      </c>
      <c r="G214" s="69"/>
      <c r="H214" s="69"/>
    </row>
    <row r="215" spans="1:8" ht="16.149999999999999" customHeight="1">
      <c r="A215" s="68"/>
      <c r="B215" s="69" t="s">
        <v>64</v>
      </c>
      <c r="C215" s="73">
        <v>2</v>
      </c>
      <c r="D215" s="70" t="s">
        <v>62</v>
      </c>
      <c r="E215" s="69">
        <f>16.4/1000</f>
        <v>1.6399999999999998E-2</v>
      </c>
      <c r="F215" s="69">
        <f>C215*E215</f>
        <v>3.2799999999999996E-2</v>
      </c>
      <c r="G215" s="69"/>
      <c r="H215" s="69"/>
    </row>
    <row r="216" spans="1:8" ht="16.149999999999999" customHeight="1">
      <c r="A216" s="68"/>
      <c r="B216" s="69" t="s">
        <v>311</v>
      </c>
      <c r="C216" s="69">
        <v>0.33</v>
      </c>
      <c r="D216" s="70" t="s">
        <v>25</v>
      </c>
      <c r="E216" s="73">
        <f>17/2</f>
        <v>8.5</v>
      </c>
      <c r="F216" s="73">
        <f t="shared" ref="F216" si="21">C216*E216</f>
        <v>2.8050000000000002</v>
      </c>
      <c r="G216" s="69"/>
      <c r="H216" s="69"/>
    </row>
    <row r="217" spans="1:8" ht="16.149999999999999" customHeight="1">
      <c r="A217" s="68" t="s">
        <v>1</v>
      </c>
      <c r="B217" s="69"/>
      <c r="C217" s="69"/>
      <c r="D217" s="70"/>
      <c r="E217" s="69"/>
      <c r="F217" s="75">
        <f>SUM(F212:F216)</f>
        <v>225.93080000000003</v>
      </c>
      <c r="G217" s="69"/>
      <c r="H217" s="69"/>
    </row>
    <row r="218" spans="1:8" ht="12" customHeight="1">
      <c r="A218" s="68"/>
      <c r="B218" s="69"/>
      <c r="C218" s="69"/>
      <c r="D218" s="70"/>
      <c r="E218" s="69"/>
      <c r="F218" s="75"/>
      <c r="G218" s="69"/>
      <c r="H218" s="69"/>
    </row>
    <row r="219" spans="1:8" ht="16.149999999999999" customHeight="1">
      <c r="A219" s="68">
        <v>6.7</v>
      </c>
      <c r="B219" s="69" t="s">
        <v>273</v>
      </c>
      <c r="C219" s="70" t="s">
        <v>84</v>
      </c>
      <c r="D219" s="70" t="s">
        <v>6</v>
      </c>
      <c r="E219" s="70" t="s">
        <v>251</v>
      </c>
      <c r="F219" s="71" t="s">
        <v>92</v>
      </c>
      <c r="G219" s="70" t="s">
        <v>251</v>
      </c>
      <c r="H219" s="70" t="s">
        <v>221</v>
      </c>
    </row>
    <row r="220" spans="1:8" ht="16.149999999999999" customHeight="1">
      <c r="A220" s="68"/>
      <c r="B220" s="69" t="s">
        <v>313</v>
      </c>
      <c r="C220" s="69">
        <v>3.36</v>
      </c>
      <c r="D220" s="70" t="s">
        <v>20</v>
      </c>
      <c r="E220" s="69">
        <f>E26</f>
        <v>2.6819999999999999</v>
      </c>
      <c r="F220" s="73">
        <f>C220*E220</f>
        <v>9.0115199999999991</v>
      </c>
      <c r="G220" s="69"/>
      <c r="H220" s="69"/>
    </row>
    <row r="221" spans="1:8" ht="16.149999999999999" customHeight="1">
      <c r="A221" s="68"/>
      <c r="B221" s="69" t="s">
        <v>57</v>
      </c>
      <c r="C221" s="69">
        <v>0.01</v>
      </c>
      <c r="D221" s="70" t="s">
        <v>58</v>
      </c>
      <c r="E221" s="73">
        <f>E7</f>
        <v>508.33</v>
      </c>
      <c r="F221" s="73">
        <f t="shared" ref="F221:F227" si="22">C221*E221</f>
        <v>5.0833000000000004</v>
      </c>
      <c r="G221" s="69"/>
      <c r="H221" s="69"/>
    </row>
    <row r="222" spans="1:8" ht="16.149999999999999" customHeight="1">
      <c r="A222" s="68"/>
      <c r="B222" s="69" t="s">
        <v>60</v>
      </c>
      <c r="C222" s="69">
        <v>0.02</v>
      </c>
      <c r="D222" s="70" t="s">
        <v>58</v>
      </c>
      <c r="E222" s="73">
        <f>E8</f>
        <v>916.66499999999996</v>
      </c>
      <c r="F222" s="73">
        <f t="shared" si="22"/>
        <v>18.333300000000001</v>
      </c>
      <c r="G222" s="69"/>
      <c r="H222" s="69"/>
    </row>
    <row r="223" spans="1:8" ht="16.149999999999999" customHeight="1">
      <c r="A223" s="68"/>
      <c r="B223" s="69" t="s">
        <v>61</v>
      </c>
      <c r="C223" s="73">
        <v>1.8</v>
      </c>
      <c r="D223" s="70" t="s">
        <v>62</v>
      </c>
      <c r="E223" s="69">
        <f>16.4/1000</f>
        <v>1.6399999999999998E-2</v>
      </c>
      <c r="F223" s="73">
        <f t="shared" si="22"/>
        <v>2.9519999999999998E-2</v>
      </c>
      <c r="G223" s="69"/>
      <c r="H223" s="69"/>
    </row>
    <row r="224" spans="1:8" ht="16.149999999999999" customHeight="1">
      <c r="A224" s="68"/>
      <c r="B224" s="69" t="s">
        <v>205</v>
      </c>
      <c r="C224" s="69">
        <v>0.41</v>
      </c>
      <c r="D224" s="70" t="s">
        <v>20</v>
      </c>
      <c r="E224" s="73">
        <f>E49</f>
        <v>22.25</v>
      </c>
      <c r="F224" s="73">
        <f t="shared" si="22"/>
        <v>9.1224999999999987</v>
      </c>
      <c r="G224" s="69"/>
      <c r="H224" s="69"/>
    </row>
    <row r="225" spans="1:8" ht="16.149999999999999" customHeight="1">
      <c r="A225" s="68"/>
      <c r="B225" s="69" t="s">
        <v>206</v>
      </c>
      <c r="C225" s="69">
        <v>1.07</v>
      </c>
      <c r="D225" s="70" t="s">
        <v>20</v>
      </c>
      <c r="E225" s="102">
        <f>E50</f>
        <v>21.5</v>
      </c>
      <c r="F225" s="73">
        <f t="shared" si="22"/>
        <v>23.005000000000003</v>
      </c>
      <c r="G225" s="69"/>
      <c r="H225" s="69"/>
    </row>
    <row r="226" spans="1:8" ht="16.149999999999999" customHeight="1">
      <c r="A226" s="68"/>
      <c r="B226" s="69" t="s">
        <v>66</v>
      </c>
      <c r="C226" s="69">
        <v>0.04</v>
      </c>
      <c r="D226" s="70" t="s">
        <v>20</v>
      </c>
      <c r="E226" s="102">
        <f>E51</f>
        <v>25.83</v>
      </c>
      <c r="F226" s="73">
        <f t="shared" si="22"/>
        <v>1.0331999999999999</v>
      </c>
      <c r="G226" s="69"/>
      <c r="H226" s="69"/>
    </row>
    <row r="227" spans="1:8" ht="16.149999999999999" customHeight="1">
      <c r="A227" s="68"/>
      <c r="B227" s="103" t="s">
        <v>274</v>
      </c>
      <c r="C227" s="73">
        <v>0.1</v>
      </c>
      <c r="D227" s="70" t="s">
        <v>312</v>
      </c>
      <c r="E227" s="104">
        <f>E20</f>
        <v>467.29</v>
      </c>
      <c r="F227" s="73">
        <f t="shared" si="22"/>
        <v>46.729000000000006</v>
      </c>
      <c r="G227" s="69"/>
      <c r="H227" s="69"/>
    </row>
    <row r="228" spans="1:8" ht="16.149999999999999" customHeight="1">
      <c r="A228" s="68"/>
      <c r="B228" s="69" t="s">
        <v>71</v>
      </c>
      <c r="C228" s="69">
        <v>0.05</v>
      </c>
      <c r="D228" s="70" t="s">
        <v>20</v>
      </c>
      <c r="E228" s="102">
        <f>E22</f>
        <v>32.922727272727272</v>
      </c>
      <c r="F228" s="73">
        <f>C228*E228</f>
        <v>1.6461363636363637</v>
      </c>
      <c r="G228" s="69"/>
      <c r="H228" s="69"/>
    </row>
    <row r="229" spans="1:8" ht="16.149999999999999" customHeight="1">
      <c r="A229" s="68"/>
      <c r="B229" s="69"/>
      <c r="C229" s="69"/>
      <c r="D229" s="70"/>
      <c r="E229" s="69"/>
      <c r="F229" s="75">
        <f>SUM(F220:F228)</f>
        <v>113.99347636363636</v>
      </c>
      <c r="G229" s="69"/>
      <c r="H229" s="69"/>
    </row>
    <row r="230" spans="1:8" ht="12" customHeight="1">
      <c r="A230" s="68"/>
      <c r="B230" s="69"/>
      <c r="C230" s="69"/>
      <c r="D230" s="70"/>
      <c r="E230" s="69"/>
      <c r="F230" s="75"/>
      <c r="G230" s="69"/>
      <c r="H230" s="69"/>
    </row>
    <row r="231" spans="1:8" ht="16.149999999999999" customHeight="1">
      <c r="A231" s="68">
        <v>6.8</v>
      </c>
      <c r="B231" s="69" t="s">
        <v>243</v>
      </c>
      <c r="C231" s="70" t="s">
        <v>84</v>
      </c>
      <c r="D231" s="70" t="s">
        <v>6</v>
      </c>
      <c r="E231" s="70" t="s">
        <v>251</v>
      </c>
      <c r="F231" s="71" t="s">
        <v>92</v>
      </c>
      <c r="G231" s="70" t="s">
        <v>251</v>
      </c>
      <c r="H231" s="70" t="s">
        <v>221</v>
      </c>
    </row>
    <row r="232" spans="1:8" ht="16.149999999999999" customHeight="1">
      <c r="A232" s="68"/>
      <c r="B232" s="69" t="s">
        <v>81</v>
      </c>
      <c r="C232" s="69">
        <v>0.57999999999999996</v>
      </c>
      <c r="D232" s="70" t="s">
        <v>29</v>
      </c>
      <c r="E232" s="73">
        <v>105</v>
      </c>
      <c r="F232" s="73">
        <f>C232*E232</f>
        <v>60.9</v>
      </c>
      <c r="G232" s="69"/>
      <c r="H232" s="69"/>
    </row>
    <row r="233" spans="1:8" ht="16.149999999999999" customHeight="1">
      <c r="A233" s="68"/>
      <c r="B233" s="69" t="s">
        <v>82</v>
      </c>
      <c r="C233" s="69">
        <v>0.23</v>
      </c>
      <c r="D233" s="70" t="s">
        <v>29</v>
      </c>
      <c r="E233" s="73">
        <v>120</v>
      </c>
      <c r="F233" s="73">
        <f>C233*E233</f>
        <v>27.6</v>
      </c>
      <c r="G233" s="69"/>
      <c r="H233" s="69"/>
    </row>
    <row r="234" spans="1:8" ht="16.149999999999999" customHeight="1">
      <c r="A234" s="68"/>
      <c r="B234" s="69" t="s">
        <v>238</v>
      </c>
      <c r="C234" s="69">
        <v>1.1100000000000001</v>
      </c>
      <c r="D234" s="70" t="s">
        <v>26</v>
      </c>
      <c r="E234" s="73">
        <v>2</v>
      </c>
      <c r="F234" s="73">
        <f>C234*E234</f>
        <v>2.2200000000000002</v>
      </c>
      <c r="G234" s="69"/>
      <c r="H234" s="69"/>
    </row>
    <row r="235" spans="1:8" ht="16.149999999999999" customHeight="1">
      <c r="A235" s="68"/>
      <c r="B235" s="69" t="s">
        <v>240</v>
      </c>
      <c r="C235" s="69">
        <v>0.06</v>
      </c>
      <c r="D235" s="70" t="s">
        <v>20</v>
      </c>
      <c r="E235" s="73">
        <v>95</v>
      </c>
      <c r="F235" s="73">
        <f>C235*E235</f>
        <v>5.7</v>
      </c>
      <c r="G235" s="69"/>
      <c r="H235" s="69"/>
    </row>
    <row r="236" spans="1:8" ht="16.149999999999999" customHeight="1">
      <c r="A236" s="68"/>
      <c r="B236" s="69" t="s">
        <v>241</v>
      </c>
      <c r="C236" s="69"/>
      <c r="D236" s="70"/>
      <c r="E236" s="73"/>
      <c r="F236" s="84" t="s">
        <v>1</v>
      </c>
      <c r="G236" s="69"/>
      <c r="H236" s="69"/>
    </row>
    <row r="237" spans="1:8" ht="16.149999999999999" customHeight="1">
      <c r="A237" s="68"/>
      <c r="B237" s="69" t="s">
        <v>242</v>
      </c>
      <c r="C237" s="80"/>
      <c r="D237" s="70"/>
      <c r="E237" s="69"/>
      <c r="F237" s="73"/>
      <c r="G237" s="69"/>
      <c r="H237" s="69"/>
    </row>
    <row r="238" spans="1:8" ht="16.149999999999999" customHeight="1">
      <c r="A238" s="68"/>
      <c r="B238" s="69" t="s">
        <v>239</v>
      </c>
      <c r="C238" s="69">
        <v>0.25</v>
      </c>
      <c r="D238" s="70" t="s">
        <v>40</v>
      </c>
      <c r="E238" s="73">
        <v>110</v>
      </c>
      <c r="F238" s="73">
        <f>C238*E238</f>
        <v>27.5</v>
      </c>
      <c r="G238" s="69"/>
      <c r="H238" s="69"/>
    </row>
    <row r="239" spans="1:8" ht="16.149999999999999" customHeight="1">
      <c r="A239" s="68"/>
      <c r="B239" s="69" t="s">
        <v>83</v>
      </c>
      <c r="C239" s="69">
        <v>0.04</v>
      </c>
      <c r="D239" s="70" t="s">
        <v>43</v>
      </c>
      <c r="E239" s="73">
        <v>212</v>
      </c>
      <c r="F239" s="73">
        <f>C239*E239</f>
        <v>8.48</v>
      </c>
      <c r="G239" s="69"/>
      <c r="H239" s="69"/>
    </row>
    <row r="240" spans="1:8" ht="16.149999999999999" customHeight="1">
      <c r="A240" s="68"/>
      <c r="B240" s="69" t="s">
        <v>413</v>
      </c>
      <c r="C240" s="73">
        <v>0.7</v>
      </c>
      <c r="D240" s="70" t="s">
        <v>72</v>
      </c>
      <c r="E240" s="74">
        <v>238</v>
      </c>
      <c r="F240" s="73">
        <f>C240*E240</f>
        <v>166.6</v>
      </c>
      <c r="G240" s="69"/>
      <c r="H240" s="69"/>
    </row>
    <row r="241" spans="1:8" ht="16.149999999999999" customHeight="1">
      <c r="A241" s="68"/>
      <c r="B241" s="69"/>
      <c r="C241" s="69"/>
      <c r="D241" s="70"/>
      <c r="E241" s="69"/>
      <c r="F241" s="75">
        <f>SUM(F232:F240)</f>
        <v>299</v>
      </c>
      <c r="G241" s="69"/>
      <c r="H241" s="69"/>
    </row>
    <row r="242" spans="1:8" ht="16.149999999999999" customHeight="1">
      <c r="A242" s="105">
        <v>7</v>
      </c>
      <c r="B242" s="106" t="s">
        <v>104</v>
      </c>
      <c r="C242" s="107"/>
      <c r="D242" s="108"/>
      <c r="E242" s="107"/>
      <c r="F242" s="107"/>
      <c r="G242" s="107"/>
      <c r="H242" s="107"/>
    </row>
    <row r="243" spans="1:8" ht="16.149999999999999" customHeight="1">
      <c r="A243" s="109">
        <v>7.1</v>
      </c>
      <c r="B243" s="107" t="s">
        <v>153</v>
      </c>
      <c r="C243" s="108" t="s">
        <v>84</v>
      </c>
      <c r="D243" s="108" t="s">
        <v>6</v>
      </c>
      <c r="E243" s="108" t="s">
        <v>251</v>
      </c>
      <c r="F243" s="110" t="s">
        <v>92</v>
      </c>
      <c r="G243" s="108" t="s">
        <v>251</v>
      </c>
      <c r="H243" s="108" t="s">
        <v>221</v>
      </c>
    </row>
    <row r="244" spans="1:8" ht="16.149999999999999" customHeight="1">
      <c r="A244" s="109"/>
      <c r="B244" s="107" t="s">
        <v>321</v>
      </c>
      <c r="C244" s="107">
        <v>1</v>
      </c>
      <c r="D244" s="108" t="s">
        <v>27</v>
      </c>
      <c r="E244" s="111">
        <f>13210-5500</f>
        <v>7710</v>
      </c>
      <c r="F244" s="111">
        <f>C244*E244</f>
        <v>7710</v>
      </c>
      <c r="G244" s="112">
        <v>0.1</v>
      </c>
      <c r="H244" s="111">
        <f>E244*0.1</f>
        <v>771</v>
      </c>
    </row>
    <row r="245" spans="1:8" ht="16.149999999999999" customHeight="1">
      <c r="A245" s="109"/>
      <c r="B245" s="107" t="s">
        <v>330</v>
      </c>
      <c r="C245" s="107">
        <v>1</v>
      </c>
      <c r="D245" s="108" t="s">
        <v>27</v>
      </c>
      <c r="E245" s="111">
        <v>5500</v>
      </c>
      <c r="F245" s="111">
        <f>C245*E245</f>
        <v>5500</v>
      </c>
      <c r="G245" s="113" t="s">
        <v>336</v>
      </c>
      <c r="H245" s="111">
        <f>0.9*2*105</f>
        <v>189</v>
      </c>
    </row>
    <row r="246" spans="1:8" ht="16.149999999999999" customHeight="1">
      <c r="A246" s="109"/>
      <c r="B246" s="107" t="s">
        <v>131</v>
      </c>
      <c r="C246" s="107">
        <v>0</v>
      </c>
      <c r="D246" s="108" t="s">
        <v>144</v>
      </c>
      <c r="E246" s="111"/>
      <c r="F246" s="111"/>
      <c r="G246" s="107"/>
      <c r="H246" s="107"/>
    </row>
    <row r="247" spans="1:8" s="115" customFormat="1" ht="16.149999999999999" customHeight="1">
      <c r="A247" s="114"/>
      <c r="B247" s="107" t="s">
        <v>381</v>
      </c>
      <c r="C247" s="107">
        <v>1</v>
      </c>
      <c r="D247" s="108" t="s">
        <v>27</v>
      </c>
      <c r="E247" s="111">
        <f>265*0.8</f>
        <v>212</v>
      </c>
      <c r="F247" s="111">
        <f>C247*E247</f>
        <v>212</v>
      </c>
      <c r="G247" s="111">
        <v>100</v>
      </c>
      <c r="H247" s="111">
        <f>C247*G247</f>
        <v>100</v>
      </c>
    </row>
    <row r="248" spans="1:8" ht="15" customHeight="1">
      <c r="A248" s="109"/>
      <c r="B248" s="107" t="s">
        <v>325</v>
      </c>
      <c r="C248" s="107">
        <v>0</v>
      </c>
      <c r="D248" s="108" t="s">
        <v>27</v>
      </c>
      <c r="E248" s="111">
        <v>0</v>
      </c>
      <c r="F248" s="111"/>
      <c r="G248" s="107"/>
      <c r="H248" s="107"/>
    </row>
    <row r="249" spans="1:8" ht="15" customHeight="1">
      <c r="A249" s="109"/>
      <c r="B249" s="107" t="s">
        <v>322</v>
      </c>
      <c r="C249" s="107">
        <v>0</v>
      </c>
      <c r="D249" s="108" t="s">
        <v>27</v>
      </c>
      <c r="E249" s="111">
        <v>0</v>
      </c>
      <c r="F249" s="111"/>
      <c r="G249" s="107"/>
      <c r="H249" s="107"/>
    </row>
    <row r="250" spans="1:8" ht="16.149999999999999" customHeight="1">
      <c r="A250" s="109"/>
      <c r="B250" s="107" t="s">
        <v>383</v>
      </c>
      <c r="C250" s="107">
        <v>2</v>
      </c>
      <c r="D250" s="108" t="s">
        <v>26</v>
      </c>
      <c r="E250" s="111">
        <f>41*0.8</f>
        <v>32.800000000000004</v>
      </c>
      <c r="F250" s="111">
        <f>C250*E250</f>
        <v>65.600000000000009</v>
      </c>
      <c r="G250" s="107"/>
      <c r="H250" s="107"/>
    </row>
    <row r="251" spans="1:8" ht="15" customHeight="1">
      <c r="A251" s="109"/>
      <c r="B251" s="107" t="s">
        <v>323</v>
      </c>
      <c r="C251" s="107">
        <v>0</v>
      </c>
      <c r="D251" s="108" t="s">
        <v>27</v>
      </c>
      <c r="E251" s="111">
        <v>0</v>
      </c>
      <c r="F251" s="111"/>
      <c r="G251" s="107"/>
      <c r="H251" s="107"/>
    </row>
    <row r="252" spans="1:8" ht="15" customHeight="1">
      <c r="A252" s="109"/>
      <c r="B252" s="107" t="s">
        <v>324</v>
      </c>
      <c r="C252" s="107">
        <v>0</v>
      </c>
      <c r="D252" s="108" t="s">
        <v>27</v>
      </c>
      <c r="E252" s="111">
        <v>0</v>
      </c>
      <c r="F252" s="111"/>
      <c r="G252" s="107"/>
      <c r="H252" s="107"/>
    </row>
    <row r="253" spans="1:8" ht="16.149999999999999" customHeight="1">
      <c r="A253" s="109"/>
      <c r="B253" s="107" t="s">
        <v>328</v>
      </c>
      <c r="C253" s="107">
        <v>3</v>
      </c>
      <c r="D253" s="108" t="s">
        <v>27</v>
      </c>
      <c r="E253" s="116">
        <f>21*12</f>
        <v>252</v>
      </c>
      <c r="F253" s="111">
        <f t="shared" ref="F253:F254" si="23">C253*E253</f>
        <v>756</v>
      </c>
      <c r="G253" s="111">
        <v>100</v>
      </c>
      <c r="H253" s="111">
        <f>C253*G253</f>
        <v>300</v>
      </c>
    </row>
    <row r="254" spans="1:8" ht="16.149999999999999" customHeight="1">
      <c r="A254" s="109"/>
      <c r="B254" s="107" t="s">
        <v>329</v>
      </c>
      <c r="C254" s="107">
        <v>3</v>
      </c>
      <c r="D254" s="108" t="s">
        <v>27</v>
      </c>
      <c r="E254" s="111">
        <v>70</v>
      </c>
      <c r="F254" s="111">
        <f t="shared" si="23"/>
        <v>210</v>
      </c>
      <c r="G254" s="107"/>
      <c r="H254" s="107"/>
    </row>
    <row r="255" spans="1:8" ht="16.149999999999999" customHeight="1">
      <c r="A255" s="109"/>
      <c r="B255" s="107"/>
      <c r="C255" s="107"/>
      <c r="D255" s="108"/>
      <c r="E255" s="111"/>
      <c r="F255" s="117">
        <f>SUM(F244:F254)</f>
        <v>14453.6</v>
      </c>
      <c r="G255" s="107"/>
      <c r="H255" s="117">
        <f>SUM(H244:H254)</f>
        <v>1360</v>
      </c>
    </row>
    <row r="256" spans="1:8" ht="16.149999999999999" customHeight="1">
      <c r="A256" s="109">
        <v>7.2</v>
      </c>
      <c r="B256" s="107" t="s">
        <v>154</v>
      </c>
      <c r="C256" s="108" t="s">
        <v>84</v>
      </c>
      <c r="D256" s="108" t="s">
        <v>6</v>
      </c>
      <c r="E256" s="108" t="s">
        <v>251</v>
      </c>
      <c r="F256" s="110" t="s">
        <v>92</v>
      </c>
      <c r="G256" s="108" t="s">
        <v>251</v>
      </c>
      <c r="H256" s="108" t="s">
        <v>221</v>
      </c>
    </row>
    <row r="257" spans="1:8" ht="16.149999999999999" customHeight="1">
      <c r="A257" s="109"/>
      <c r="B257" s="107" t="s">
        <v>332</v>
      </c>
      <c r="C257" s="107">
        <v>1</v>
      </c>
      <c r="D257" s="108" t="s">
        <v>27</v>
      </c>
      <c r="E257" s="111">
        <f>13370-5500</f>
        <v>7870</v>
      </c>
      <c r="F257" s="111">
        <f>C257*E257</f>
        <v>7870</v>
      </c>
      <c r="G257" s="112">
        <v>0.1</v>
      </c>
      <c r="H257" s="111">
        <f>E257*0.1</f>
        <v>787</v>
      </c>
    </row>
    <row r="258" spans="1:8" ht="16.149999999999999" customHeight="1">
      <c r="A258" s="109"/>
      <c r="B258" s="107" t="s">
        <v>331</v>
      </c>
      <c r="C258" s="107">
        <v>1</v>
      </c>
      <c r="D258" s="108" t="s">
        <v>27</v>
      </c>
      <c r="E258" s="111">
        <v>5500</v>
      </c>
      <c r="F258" s="111">
        <f>C258*E258</f>
        <v>5500</v>
      </c>
      <c r="G258" s="113" t="s">
        <v>336</v>
      </c>
      <c r="H258" s="111">
        <f>0.8*2*105</f>
        <v>168</v>
      </c>
    </row>
    <row r="259" spans="1:8" ht="16.149999999999999" customHeight="1">
      <c r="A259" s="109"/>
      <c r="B259" s="107" t="s">
        <v>131</v>
      </c>
      <c r="C259" s="107">
        <v>0</v>
      </c>
      <c r="D259" s="108" t="s">
        <v>144</v>
      </c>
      <c r="E259" s="111"/>
      <c r="F259" s="111"/>
      <c r="G259" s="107"/>
      <c r="H259" s="107"/>
    </row>
    <row r="260" spans="1:8" s="115" customFormat="1" ht="16.149999999999999" customHeight="1">
      <c r="A260" s="114"/>
      <c r="B260" s="107" t="s">
        <v>381</v>
      </c>
      <c r="C260" s="107">
        <v>1</v>
      </c>
      <c r="D260" s="108" t="s">
        <v>27</v>
      </c>
      <c r="E260" s="111">
        <f>265*0.8</f>
        <v>212</v>
      </c>
      <c r="F260" s="111">
        <f>C260*E260</f>
        <v>212</v>
      </c>
      <c r="G260" s="111">
        <v>100</v>
      </c>
      <c r="H260" s="111">
        <f>C260*G260</f>
        <v>100</v>
      </c>
    </row>
    <row r="261" spans="1:8" ht="16.149999999999999" customHeight="1">
      <c r="A261" s="109"/>
      <c r="B261" s="107" t="s">
        <v>325</v>
      </c>
      <c r="C261" s="107">
        <v>0</v>
      </c>
      <c r="D261" s="108" t="s">
        <v>27</v>
      </c>
      <c r="E261" s="111">
        <v>0</v>
      </c>
      <c r="F261" s="111"/>
      <c r="G261" s="107"/>
      <c r="H261" s="107"/>
    </row>
    <row r="262" spans="1:8" ht="16.149999999999999" customHeight="1">
      <c r="A262" s="109"/>
      <c r="B262" s="107" t="s">
        <v>322</v>
      </c>
      <c r="C262" s="107">
        <v>0</v>
      </c>
      <c r="D262" s="108" t="s">
        <v>27</v>
      </c>
      <c r="E262" s="111">
        <v>0</v>
      </c>
      <c r="F262" s="111"/>
      <c r="G262" s="107"/>
      <c r="H262" s="107"/>
    </row>
    <row r="263" spans="1:8" ht="16.149999999999999" customHeight="1">
      <c r="A263" s="109"/>
      <c r="B263" s="107" t="s">
        <v>383</v>
      </c>
      <c r="C263" s="107">
        <v>2</v>
      </c>
      <c r="D263" s="108" t="s">
        <v>26</v>
      </c>
      <c r="E263" s="111">
        <f>41*0.8</f>
        <v>32.800000000000004</v>
      </c>
      <c r="F263" s="111">
        <f>C263*E263</f>
        <v>65.600000000000009</v>
      </c>
      <c r="G263" s="107"/>
      <c r="H263" s="107"/>
    </row>
    <row r="264" spans="1:8" ht="16.149999999999999" customHeight="1">
      <c r="A264" s="109"/>
      <c r="B264" s="107" t="s">
        <v>323</v>
      </c>
      <c r="C264" s="107">
        <v>0</v>
      </c>
      <c r="D264" s="108" t="s">
        <v>27</v>
      </c>
      <c r="E264" s="111">
        <v>0</v>
      </c>
      <c r="F264" s="111"/>
      <c r="G264" s="107"/>
      <c r="H264" s="107"/>
    </row>
    <row r="265" spans="1:8" ht="16.149999999999999" customHeight="1">
      <c r="A265" s="109"/>
      <c r="B265" s="107" t="s">
        <v>324</v>
      </c>
      <c r="C265" s="107">
        <v>0</v>
      </c>
      <c r="D265" s="108" t="s">
        <v>27</v>
      </c>
      <c r="E265" s="111">
        <v>0</v>
      </c>
      <c r="F265" s="111"/>
      <c r="G265" s="107"/>
      <c r="H265" s="107"/>
    </row>
    <row r="266" spans="1:8" ht="16.149999999999999" customHeight="1">
      <c r="A266" s="109"/>
      <c r="B266" s="107" t="s">
        <v>328</v>
      </c>
      <c r="C266" s="107">
        <v>3</v>
      </c>
      <c r="D266" s="108" t="s">
        <v>27</v>
      </c>
      <c r="E266" s="116">
        <f>252*0.8</f>
        <v>201.60000000000002</v>
      </c>
      <c r="F266" s="111">
        <f t="shared" ref="F266:F267" si="24">C266*E266</f>
        <v>604.80000000000007</v>
      </c>
      <c r="G266" s="111">
        <v>100</v>
      </c>
      <c r="H266" s="111">
        <f>C266*G266</f>
        <v>300</v>
      </c>
    </row>
    <row r="267" spans="1:8" ht="16.149999999999999" customHeight="1">
      <c r="A267" s="109"/>
      <c r="B267" s="107" t="s">
        <v>382</v>
      </c>
      <c r="C267" s="107">
        <v>3</v>
      </c>
      <c r="D267" s="108" t="s">
        <v>27</v>
      </c>
      <c r="E267" s="111">
        <f>118*0.8</f>
        <v>94.4</v>
      </c>
      <c r="F267" s="111">
        <f t="shared" si="24"/>
        <v>283.20000000000005</v>
      </c>
      <c r="G267" s="107"/>
      <c r="H267" s="107"/>
    </row>
    <row r="268" spans="1:8" ht="16.149999999999999" customHeight="1">
      <c r="A268" s="109"/>
      <c r="B268" s="107"/>
      <c r="C268" s="107"/>
      <c r="D268" s="108"/>
      <c r="E268" s="111"/>
      <c r="F268" s="117">
        <f>SUM(F257:F267)</f>
        <v>14535.6</v>
      </c>
      <c r="G268" s="107"/>
      <c r="H268" s="117">
        <f>SUM(H257:H267)</f>
        <v>1355</v>
      </c>
    </row>
    <row r="269" spans="1:8" ht="16.149999999999999" customHeight="1">
      <c r="A269" s="109"/>
      <c r="B269" s="107"/>
      <c r="C269" s="107"/>
      <c r="D269" s="108"/>
      <c r="E269" s="111"/>
      <c r="F269" s="111"/>
      <c r="G269" s="107"/>
      <c r="H269" s="107"/>
    </row>
    <row r="270" spans="1:8" ht="16.149999999999999" customHeight="1">
      <c r="A270" s="109">
        <v>7.3</v>
      </c>
      <c r="B270" s="107" t="s">
        <v>155</v>
      </c>
      <c r="C270" s="108" t="s">
        <v>84</v>
      </c>
      <c r="D270" s="108" t="s">
        <v>6</v>
      </c>
      <c r="E270" s="108" t="s">
        <v>251</v>
      </c>
      <c r="F270" s="110" t="s">
        <v>92</v>
      </c>
      <c r="G270" s="108" t="s">
        <v>251</v>
      </c>
      <c r="H270" s="108" t="s">
        <v>221</v>
      </c>
    </row>
    <row r="271" spans="1:8" ht="16.149999999999999" customHeight="1">
      <c r="A271" s="109"/>
      <c r="B271" s="107" t="s">
        <v>333</v>
      </c>
      <c r="C271" s="107">
        <v>1</v>
      </c>
      <c r="D271" s="108" t="s">
        <v>27</v>
      </c>
      <c r="E271" s="111">
        <v>8000</v>
      </c>
      <c r="F271" s="111">
        <f>C271*E271</f>
        <v>8000</v>
      </c>
      <c r="G271" s="112">
        <v>0.1</v>
      </c>
      <c r="H271" s="111">
        <f>E271*0.1</f>
        <v>800</v>
      </c>
    </row>
    <row r="272" spans="1:8" ht="16.149999999999999" customHeight="1">
      <c r="A272" s="109"/>
      <c r="B272" s="107" t="s">
        <v>334</v>
      </c>
      <c r="C272" s="107">
        <v>1</v>
      </c>
      <c r="D272" s="108" t="s">
        <v>27</v>
      </c>
      <c r="E272" s="111">
        <v>710</v>
      </c>
      <c r="F272" s="111">
        <f>C272*E272</f>
        <v>710</v>
      </c>
      <c r="G272" s="113" t="s">
        <v>336</v>
      </c>
      <c r="H272" s="111">
        <f>0.8*2*105</f>
        <v>168</v>
      </c>
    </row>
    <row r="273" spans="1:8" ht="16.149999999999999" customHeight="1">
      <c r="A273" s="109"/>
      <c r="B273" s="107" t="s">
        <v>131</v>
      </c>
      <c r="C273" s="107">
        <v>0</v>
      </c>
      <c r="D273" s="108" t="s">
        <v>144</v>
      </c>
      <c r="E273" s="111"/>
      <c r="F273" s="111"/>
      <c r="G273" s="107"/>
      <c r="H273" s="107"/>
    </row>
    <row r="274" spans="1:8" s="115" customFormat="1" ht="16.149999999999999" customHeight="1">
      <c r="A274" s="114"/>
      <c r="B274" s="107" t="s">
        <v>381</v>
      </c>
      <c r="C274" s="107">
        <v>1</v>
      </c>
      <c r="D274" s="108" t="s">
        <v>27</v>
      </c>
      <c r="E274" s="111">
        <f>265*0.8</f>
        <v>212</v>
      </c>
      <c r="F274" s="111">
        <f>C274*E274</f>
        <v>212</v>
      </c>
      <c r="G274" s="111">
        <v>100</v>
      </c>
      <c r="H274" s="111">
        <f>C274*G274</f>
        <v>100</v>
      </c>
    </row>
    <row r="275" spans="1:8" ht="16.149999999999999" customHeight="1">
      <c r="A275" s="109"/>
      <c r="B275" s="107" t="s">
        <v>384</v>
      </c>
      <c r="C275" s="107">
        <v>3</v>
      </c>
      <c r="D275" s="108" t="s">
        <v>27</v>
      </c>
      <c r="E275" s="111">
        <v>35</v>
      </c>
      <c r="F275" s="111">
        <f>C275*E275</f>
        <v>105</v>
      </c>
      <c r="G275" s="107"/>
      <c r="H275" s="107"/>
    </row>
    <row r="276" spans="1:8" ht="16.149999999999999" customHeight="1">
      <c r="A276" s="109"/>
      <c r="B276" s="107" t="s">
        <v>322</v>
      </c>
      <c r="C276" s="107">
        <v>0</v>
      </c>
      <c r="D276" s="108" t="s">
        <v>27</v>
      </c>
      <c r="E276" s="111">
        <v>0</v>
      </c>
      <c r="F276" s="111"/>
      <c r="G276" s="107"/>
      <c r="H276" s="107"/>
    </row>
    <row r="277" spans="1:8" ht="16.149999999999999" customHeight="1">
      <c r="A277" s="109"/>
      <c r="B277" s="107" t="s">
        <v>383</v>
      </c>
      <c r="C277" s="107">
        <v>1</v>
      </c>
      <c r="D277" s="108" t="s">
        <v>26</v>
      </c>
      <c r="E277" s="111">
        <f>41*0.8</f>
        <v>32.800000000000004</v>
      </c>
      <c r="F277" s="111">
        <f>C277*E277</f>
        <v>32.800000000000004</v>
      </c>
      <c r="G277" s="107"/>
      <c r="H277" s="107"/>
    </row>
    <row r="278" spans="1:8" ht="16.149999999999999" customHeight="1">
      <c r="A278" s="109"/>
      <c r="B278" s="107" t="s">
        <v>323</v>
      </c>
      <c r="C278" s="107">
        <v>0</v>
      </c>
      <c r="D278" s="108" t="s">
        <v>27</v>
      </c>
      <c r="E278" s="111">
        <v>0</v>
      </c>
      <c r="F278" s="111"/>
      <c r="G278" s="107"/>
      <c r="H278" s="107"/>
    </row>
    <row r="279" spans="1:8" ht="16.149999999999999" customHeight="1">
      <c r="A279" s="109"/>
      <c r="B279" s="107" t="s">
        <v>324</v>
      </c>
      <c r="C279" s="107">
        <v>0</v>
      </c>
      <c r="D279" s="108" t="s">
        <v>27</v>
      </c>
      <c r="E279" s="111">
        <v>0</v>
      </c>
      <c r="F279" s="111"/>
      <c r="G279" s="107"/>
      <c r="H279" s="107"/>
    </row>
    <row r="280" spans="1:8" ht="16.149999999999999" customHeight="1">
      <c r="A280" s="109"/>
      <c r="B280" s="107"/>
      <c r="C280" s="107"/>
      <c r="D280" s="108"/>
      <c r="E280" s="111"/>
      <c r="F280" s="117">
        <f>SUM(F271:F279)</f>
        <v>9059.7999999999993</v>
      </c>
      <c r="G280" s="107"/>
      <c r="H280" s="117">
        <f>SUM(H271:H279)</f>
        <v>1068</v>
      </c>
    </row>
    <row r="281" spans="1:8" ht="16.149999999999999" customHeight="1">
      <c r="A281" s="109"/>
      <c r="B281" s="107"/>
      <c r="C281" s="107"/>
      <c r="D281" s="108"/>
      <c r="E281" s="111"/>
      <c r="F281" s="111"/>
      <c r="G281" s="107"/>
      <c r="H281" s="107"/>
    </row>
    <row r="282" spans="1:8" ht="16.149999999999999" customHeight="1">
      <c r="A282" s="109">
        <v>7.4</v>
      </c>
      <c r="B282" s="107" t="s">
        <v>284</v>
      </c>
      <c r="C282" s="108" t="s">
        <v>84</v>
      </c>
      <c r="D282" s="108" t="s">
        <v>6</v>
      </c>
      <c r="E282" s="108" t="s">
        <v>251</v>
      </c>
      <c r="F282" s="110" t="s">
        <v>92</v>
      </c>
      <c r="G282" s="108" t="s">
        <v>251</v>
      </c>
      <c r="H282" s="108" t="s">
        <v>221</v>
      </c>
    </row>
    <row r="283" spans="1:8" ht="16.149999999999999" customHeight="1">
      <c r="A283" s="109"/>
      <c r="B283" s="107" t="s">
        <v>337</v>
      </c>
      <c r="C283" s="107">
        <v>1</v>
      </c>
      <c r="D283" s="108" t="s">
        <v>27</v>
      </c>
      <c r="E283" s="111">
        <v>890</v>
      </c>
      <c r="F283" s="111">
        <f>C283*E283</f>
        <v>890</v>
      </c>
      <c r="G283" s="113" t="s">
        <v>339</v>
      </c>
      <c r="H283" s="111">
        <f>0.7*2*100</f>
        <v>140</v>
      </c>
    </row>
    <row r="284" spans="1:8" ht="16.149999999999999" customHeight="1">
      <c r="A284" s="109"/>
      <c r="B284" s="107" t="s">
        <v>338</v>
      </c>
      <c r="C284" s="107">
        <v>1</v>
      </c>
      <c r="D284" s="108" t="s">
        <v>27</v>
      </c>
      <c r="E284" s="111">
        <f>(750+890)/2</f>
        <v>820</v>
      </c>
      <c r="F284" s="111">
        <f>C284*E284</f>
        <v>820</v>
      </c>
      <c r="G284" s="113" t="s">
        <v>336</v>
      </c>
      <c r="H284" s="111">
        <f>0.7*2*105</f>
        <v>147</v>
      </c>
    </row>
    <row r="285" spans="1:8" ht="16.149999999999999" customHeight="1">
      <c r="A285" s="109"/>
      <c r="B285" s="107" t="s">
        <v>131</v>
      </c>
      <c r="C285" s="107">
        <v>0</v>
      </c>
      <c r="D285" s="108" t="s">
        <v>144</v>
      </c>
      <c r="E285" s="111"/>
      <c r="F285" s="111"/>
      <c r="G285" s="107"/>
      <c r="H285" s="107"/>
    </row>
    <row r="286" spans="1:8" s="115" customFormat="1" ht="16.149999999999999" customHeight="1">
      <c r="A286" s="114"/>
      <c r="B286" s="107" t="s">
        <v>381</v>
      </c>
      <c r="C286" s="107">
        <v>1</v>
      </c>
      <c r="D286" s="108" t="s">
        <v>27</v>
      </c>
      <c r="E286" s="111">
        <f>265*0.8</f>
        <v>212</v>
      </c>
      <c r="F286" s="111">
        <f>C286*E286</f>
        <v>212</v>
      </c>
      <c r="G286" s="111">
        <v>100</v>
      </c>
      <c r="H286" s="111">
        <f>C286*G286</f>
        <v>100</v>
      </c>
    </row>
    <row r="287" spans="1:8" ht="16.149999999999999" customHeight="1">
      <c r="A287" s="109"/>
      <c r="B287" s="107" t="s">
        <v>384</v>
      </c>
      <c r="C287" s="107">
        <v>3</v>
      </c>
      <c r="D287" s="108" t="s">
        <v>27</v>
      </c>
      <c r="E287" s="111">
        <v>35</v>
      </c>
      <c r="F287" s="111">
        <f>C287*E287</f>
        <v>105</v>
      </c>
      <c r="G287" s="107"/>
      <c r="H287" s="107"/>
    </row>
    <row r="288" spans="1:8" ht="16.149999999999999" customHeight="1">
      <c r="A288" s="109"/>
      <c r="B288" s="107" t="s">
        <v>322</v>
      </c>
      <c r="C288" s="107">
        <v>0</v>
      </c>
      <c r="D288" s="108" t="s">
        <v>27</v>
      </c>
      <c r="E288" s="111">
        <v>0</v>
      </c>
      <c r="F288" s="111"/>
      <c r="G288" s="107"/>
      <c r="H288" s="107"/>
    </row>
    <row r="289" spans="1:8" ht="16.149999999999999" customHeight="1">
      <c r="A289" s="109"/>
      <c r="B289" s="107" t="s">
        <v>383</v>
      </c>
      <c r="C289" s="107">
        <v>0</v>
      </c>
      <c r="D289" s="108" t="s">
        <v>26</v>
      </c>
      <c r="E289" s="111">
        <f>41*0.8</f>
        <v>32.800000000000004</v>
      </c>
      <c r="F289" s="111">
        <f>C289*E289</f>
        <v>0</v>
      </c>
      <c r="G289" s="107"/>
      <c r="H289" s="107"/>
    </row>
    <row r="290" spans="1:8" ht="16.149999999999999" customHeight="1">
      <c r="A290" s="109"/>
      <c r="B290" s="107" t="s">
        <v>323</v>
      </c>
      <c r="C290" s="107">
        <v>0</v>
      </c>
      <c r="D290" s="108" t="s">
        <v>27</v>
      </c>
      <c r="E290" s="111">
        <v>0</v>
      </c>
      <c r="F290" s="111"/>
      <c r="G290" s="107"/>
      <c r="H290" s="107"/>
    </row>
    <row r="291" spans="1:8" ht="16.149999999999999" customHeight="1">
      <c r="A291" s="109"/>
      <c r="B291" s="107" t="s">
        <v>324</v>
      </c>
      <c r="C291" s="107">
        <v>0</v>
      </c>
      <c r="D291" s="108" t="s">
        <v>27</v>
      </c>
      <c r="E291" s="111">
        <v>0</v>
      </c>
      <c r="F291" s="111"/>
      <c r="G291" s="107"/>
      <c r="H291" s="107"/>
    </row>
    <row r="292" spans="1:8" ht="16.149999999999999" customHeight="1">
      <c r="A292" s="109"/>
      <c r="B292" s="107"/>
      <c r="C292" s="107"/>
      <c r="D292" s="108"/>
      <c r="E292" s="111"/>
      <c r="F292" s="117">
        <f>SUM(F283:F291)</f>
        <v>2027</v>
      </c>
      <c r="G292" s="107"/>
      <c r="H292" s="117">
        <f>SUM(H283:H291)</f>
        <v>387</v>
      </c>
    </row>
    <row r="293" spans="1:8" ht="16.149999999999999" customHeight="1">
      <c r="A293" s="109"/>
      <c r="B293" s="107"/>
      <c r="C293" s="107"/>
      <c r="D293" s="108"/>
      <c r="E293" s="111"/>
      <c r="F293" s="117"/>
      <c r="G293" s="107"/>
      <c r="H293" s="117"/>
    </row>
    <row r="294" spans="1:8" ht="16.149999999999999" customHeight="1">
      <c r="A294" s="109">
        <v>7.5</v>
      </c>
      <c r="B294" s="107" t="s">
        <v>340</v>
      </c>
      <c r="C294" s="108" t="s">
        <v>84</v>
      </c>
      <c r="D294" s="108" t="s">
        <v>6</v>
      </c>
      <c r="E294" s="108" t="s">
        <v>251</v>
      </c>
      <c r="F294" s="110" t="s">
        <v>92</v>
      </c>
      <c r="G294" s="108" t="s">
        <v>251</v>
      </c>
      <c r="H294" s="108" t="s">
        <v>221</v>
      </c>
    </row>
    <row r="295" spans="1:8" ht="16.149999999999999" customHeight="1">
      <c r="A295" s="109"/>
      <c r="B295" s="107" t="s">
        <v>341</v>
      </c>
      <c r="C295" s="107">
        <v>1</v>
      </c>
      <c r="D295" s="108" t="s">
        <v>27</v>
      </c>
      <c r="E295" s="111">
        <v>890</v>
      </c>
      <c r="F295" s="111">
        <f>C295*E295</f>
        <v>890</v>
      </c>
      <c r="G295" s="113" t="s">
        <v>339</v>
      </c>
      <c r="H295" s="111">
        <f>0.7*1.8*100</f>
        <v>126</v>
      </c>
    </row>
    <row r="296" spans="1:8" ht="16.149999999999999" customHeight="1">
      <c r="A296" s="109"/>
      <c r="B296" s="107" t="s">
        <v>342</v>
      </c>
      <c r="C296" s="107">
        <v>1</v>
      </c>
      <c r="D296" s="108" t="s">
        <v>27</v>
      </c>
      <c r="E296" s="111">
        <f>(710+840)/2</f>
        <v>775</v>
      </c>
      <c r="F296" s="111">
        <f>C296*E296</f>
        <v>775</v>
      </c>
      <c r="G296" s="113" t="s">
        <v>336</v>
      </c>
      <c r="H296" s="111">
        <f>0.7*1.8*105</f>
        <v>132.30000000000001</v>
      </c>
    </row>
    <row r="297" spans="1:8" ht="16.149999999999999" customHeight="1">
      <c r="A297" s="109"/>
      <c r="B297" s="107" t="s">
        <v>131</v>
      </c>
      <c r="C297" s="107">
        <v>0</v>
      </c>
      <c r="D297" s="108" t="s">
        <v>144</v>
      </c>
      <c r="E297" s="111"/>
      <c r="F297" s="111"/>
      <c r="G297" s="107"/>
      <c r="H297" s="107"/>
    </row>
    <row r="298" spans="1:8" s="115" customFormat="1" ht="16.149999999999999" customHeight="1">
      <c r="A298" s="114"/>
      <c r="B298" s="107" t="s">
        <v>326</v>
      </c>
      <c r="C298" s="107">
        <v>1</v>
      </c>
      <c r="D298" s="108" t="s">
        <v>27</v>
      </c>
      <c r="E298" s="111">
        <v>332</v>
      </c>
      <c r="F298" s="111">
        <f>C298*E298</f>
        <v>332</v>
      </c>
      <c r="G298" s="111">
        <v>100</v>
      </c>
      <c r="H298" s="111">
        <f>C298*G298</f>
        <v>100</v>
      </c>
    </row>
    <row r="299" spans="1:8" ht="16.149999999999999" customHeight="1">
      <c r="A299" s="109"/>
      <c r="B299" s="107" t="s">
        <v>335</v>
      </c>
      <c r="C299" s="107">
        <v>3</v>
      </c>
      <c r="D299" s="108" t="s">
        <v>27</v>
      </c>
      <c r="E299" s="111">
        <v>25</v>
      </c>
      <c r="F299" s="111">
        <f>C299*E299</f>
        <v>75</v>
      </c>
      <c r="G299" s="107"/>
      <c r="H299" s="107"/>
    </row>
    <row r="300" spans="1:8" ht="16.149999999999999" customHeight="1">
      <c r="A300" s="109"/>
      <c r="B300" s="107" t="s">
        <v>322</v>
      </c>
      <c r="C300" s="107">
        <v>0</v>
      </c>
      <c r="D300" s="108" t="s">
        <v>27</v>
      </c>
      <c r="E300" s="111">
        <v>0</v>
      </c>
      <c r="F300" s="111"/>
      <c r="G300" s="107"/>
      <c r="H300" s="107"/>
    </row>
    <row r="301" spans="1:8" ht="16.149999999999999" customHeight="1">
      <c r="A301" s="109"/>
      <c r="B301" s="107" t="s">
        <v>327</v>
      </c>
      <c r="C301" s="107">
        <v>0</v>
      </c>
      <c r="D301" s="108" t="s">
        <v>26</v>
      </c>
      <c r="E301" s="111">
        <v>45.6</v>
      </c>
      <c r="F301" s="111">
        <f>C301*E301</f>
        <v>0</v>
      </c>
      <c r="G301" s="107"/>
      <c r="H301" s="107"/>
    </row>
    <row r="302" spans="1:8" ht="16.149999999999999" customHeight="1">
      <c r="A302" s="109"/>
      <c r="B302" s="107" t="s">
        <v>323</v>
      </c>
      <c r="C302" s="107">
        <v>0</v>
      </c>
      <c r="D302" s="108" t="s">
        <v>27</v>
      </c>
      <c r="E302" s="111">
        <v>0</v>
      </c>
      <c r="F302" s="111"/>
      <c r="G302" s="107"/>
      <c r="H302" s="107"/>
    </row>
    <row r="303" spans="1:8" ht="16.149999999999999" customHeight="1">
      <c r="A303" s="109"/>
      <c r="B303" s="107" t="s">
        <v>324</v>
      </c>
      <c r="C303" s="107">
        <v>0</v>
      </c>
      <c r="D303" s="108" t="s">
        <v>27</v>
      </c>
      <c r="E303" s="111">
        <v>0</v>
      </c>
      <c r="F303" s="111"/>
      <c r="G303" s="107"/>
      <c r="H303" s="107"/>
    </row>
    <row r="304" spans="1:8" ht="16.149999999999999" customHeight="1">
      <c r="A304" s="109"/>
      <c r="B304" s="107"/>
      <c r="C304" s="107"/>
      <c r="D304" s="108"/>
      <c r="E304" s="111"/>
      <c r="F304" s="117">
        <f>SUM(F295:F303)</f>
        <v>2072</v>
      </c>
      <c r="G304" s="107"/>
      <c r="H304" s="117">
        <f>SUM(H295:H303)</f>
        <v>358.3</v>
      </c>
    </row>
    <row r="305" spans="1:8" ht="16.149999999999999" customHeight="1">
      <c r="A305" s="109"/>
      <c r="B305" s="107"/>
      <c r="C305" s="107"/>
      <c r="D305" s="108"/>
      <c r="E305" s="111"/>
      <c r="F305" s="117"/>
      <c r="G305" s="107"/>
      <c r="H305" s="117"/>
    </row>
    <row r="306" spans="1:8" ht="16.149999999999999" customHeight="1">
      <c r="A306" s="109">
        <v>7.6</v>
      </c>
      <c r="B306" s="107" t="s">
        <v>156</v>
      </c>
      <c r="C306" s="108" t="s">
        <v>84</v>
      </c>
      <c r="D306" s="108" t="s">
        <v>6</v>
      </c>
      <c r="E306" s="108" t="s">
        <v>251</v>
      </c>
      <c r="F306" s="110" t="s">
        <v>92</v>
      </c>
      <c r="G306" s="108" t="s">
        <v>251</v>
      </c>
      <c r="H306" s="108" t="s">
        <v>221</v>
      </c>
    </row>
    <row r="307" spans="1:8" ht="16.149999999999999" customHeight="1">
      <c r="A307" s="109"/>
      <c r="B307" s="107" t="s">
        <v>343</v>
      </c>
      <c r="C307" s="107">
        <v>1</v>
      </c>
      <c r="D307" s="108" t="s">
        <v>27</v>
      </c>
      <c r="E307" s="111">
        <v>1240</v>
      </c>
      <c r="F307" s="111">
        <f>C307*E307</f>
        <v>1240</v>
      </c>
      <c r="G307" s="112">
        <v>0.1</v>
      </c>
      <c r="H307" s="111">
        <f>E307*0.1</f>
        <v>124</v>
      </c>
    </row>
    <row r="308" spans="1:8" ht="16.149999999999999" customHeight="1">
      <c r="A308" s="109"/>
      <c r="B308" s="107" t="s">
        <v>131</v>
      </c>
      <c r="C308" s="107">
        <v>0</v>
      </c>
      <c r="D308" s="108" t="s">
        <v>144</v>
      </c>
      <c r="E308" s="111"/>
      <c r="F308" s="111"/>
      <c r="G308" s="107"/>
      <c r="H308" s="107"/>
    </row>
    <row r="309" spans="1:8" ht="16.149999999999999" customHeight="1">
      <c r="A309" s="109"/>
      <c r="B309" s="107"/>
      <c r="C309" s="107"/>
      <c r="D309" s="108"/>
      <c r="E309" s="111"/>
      <c r="F309" s="117">
        <f>SUM(F307:F308)</f>
        <v>1240</v>
      </c>
      <c r="G309" s="107"/>
      <c r="H309" s="117">
        <f>SUM(H307:H308)</f>
        <v>124</v>
      </c>
    </row>
    <row r="310" spans="1:8" ht="16.149999999999999" customHeight="1">
      <c r="A310" s="109"/>
      <c r="B310" s="107"/>
      <c r="C310" s="107"/>
      <c r="D310" s="108"/>
      <c r="E310" s="111"/>
      <c r="F310" s="117"/>
      <c r="G310" s="107"/>
      <c r="H310" s="117"/>
    </row>
    <row r="311" spans="1:8" ht="16.149999999999999" customHeight="1">
      <c r="A311" s="109">
        <v>7.7</v>
      </c>
      <c r="B311" s="107" t="s">
        <v>157</v>
      </c>
      <c r="C311" s="108" t="s">
        <v>84</v>
      </c>
      <c r="D311" s="108" t="s">
        <v>6</v>
      </c>
      <c r="E311" s="108" t="s">
        <v>251</v>
      </c>
      <c r="F311" s="110" t="s">
        <v>92</v>
      </c>
      <c r="G311" s="108" t="s">
        <v>251</v>
      </c>
      <c r="H311" s="108" t="s">
        <v>221</v>
      </c>
    </row>
    <row r="312" spans="1:8" ht="16.149999999999999" customHeight="1">
      <c r="A312" s="109"/>
      <c r="B312" s="107" t="s">
        <v>344</v>
      </c>
      <c r="C312" s="107">
        <v>1</v>
      </c>
      <c r="D312" s="108" t="s">
        <v>27</v>
      </c>
      <c r="E312" s="111">
        <v>3340</v>
      </c>
      <c r="F312" s="111">
        <f>C312*E312</f>
        <v>3340</v>
      </c>
      <c r="G312" s="112">
        <v>0.1</v>
      </c>
      <c r="H312" s="111">
        <f>E312*0.1</f>
        <v>334</v>
      </c>
    </row>
    <row r="313" spans="1:8" ht="16.149999999999999" customHeight="1">
      <c r="A313" s="109"/>
      <c r="B313" s="107" t="s">
        <v>131</v>
      </c>
      <c r="C313" s="107">
        <v>0</v>
      </c>
      <c r="D313" s="108" t="s">
        <v>144</v>
      </c>
      <c r="E313" s="111"/>
      <c r="F313" s="111"/>
      <c r="G313" s="107"/>
      <c r="H313" s="107"/>
    </row>
    <row r="314" spans="1:8" ht="16.149999999999999" customHeight="1">
      <c r="A314" s="109"/>
      <c r="B314" s="107"/>
      <c r="C314" s="107"/>
      <c r="D314" s="108"/>
      <c r="E314" s="111"/>
      <c r="F314" s="117">
        <f>SUM(F312:F313)</f>
        <v>3340</v>
      </c>
      <c r="G314" s="107"/>
      <c r="H314" s="117">
        <f>SUM(H312:H313)</f>
        <v>334</v>
      </c>
    </row>
    <row r="315" spans="1:8" ht="16.149999999999999" customHeight="1">
      <c r="A315" s="109"/>
      <c r="B315" s="107"/>
      <c r="C315" s="107"/>
      <c r="D315" s="108"/>
      <c r="E315" s="111"/>
      <c r="F315" s="111"/>
      <c r="G315" s="107"/>
      <c r="H315" s="107"/>
    </row>
    <row r="316" spans="1:8" ht="16.149999999999999" customHeight="1">
      <c r="A316" s="62">
        <v>8</v>
      </c>
      <c r="B316" s="63" t="s">
        <v>105</v>
      </c>
      <c r="C316" s="69"/>
      <c r="D316" s="70"/>
      <c r="E316" s="69"/>
      <c r="F316" s="69"/>
      <c r="G316" s="69"/>
      <c r="H316" s="69"/>
    </row>
    <row r="317" spans="1:8" ht="16.149999999999999" customHeight="1">
      <c r="A317" s="68">
        <v>8.1</v>
      </c>
      <c r="B317" s="69" t="s">
        <v>345</v>
      </c>
      <c r="C317" s="70" t="s">
        <v>84</v>
      </c>
      <c r="D317" s="70" t="s">
        <v>6</v>
      </c>
      <c r="E317" s="70" t="s">
        <v>251</v>
      </c>
      <c r="F317" s="71" t="s">
        <v>92</v>
      </c>
      <c r="G317" s="70" t="s">
        <v>251</v>
      </c>
      <c r="H317" s="70" t="s">
        <v>221</v>
      </c>
    </row>
    <row r="318" spans="1:8" ht="16.149999999999999" customHeight="1">
      <c r="A318" s="68"/>
      <c r="B318" s="69" t="s">
        <v>41</v>
      </c>
      <c r="C318" s="73">
        <v>0.1</v>
      </c>
      <c r="D318" s="70" t="s">
        <v>20</v>
      </c>
      <c r="E318" s="73">
        <v>100</v>
      </c>
      <c r="F318" s="73">
        <f>C318*E318</f>
        <v>10</v>
      </c>
      <c r="G318" s="69"/>
      <c r="H318" s="69"/>
    </row>
    <row r="319" spans="1:8" ht="16.149999999999999" customHeight="1">
      <c r="A319" s="68"/>
      <c r="B319" s="68" t="s">
        <v>346</v>
      </c>
      <c r="C319" s="69">
        <v>0.04</v>
      </c>
      <c r="D319" s="70" t="s">
        <v>44</v>
      </c>
      <c r="E319" s="73">
        <v>475</v>
      </c>
      <c r="F319" s="69">
        <f>C319*E319</f>
        <v>19</v>
      </c>
      <c r="G319" s="69"/>
      <c r="H319" s="69"/>
    </row>
    <row r="320" spans="1:8" ht="16.149999999999999" customHeight="1">
      <c r="A320" s="68"/>
      <c r="B320" s="69" t="s">
        <v>347</v>
      </c>
      <c r="C320" s="69">
        <v>7.0000000000000007E-2</v>
      </c>
      <c r="D320" s="70" t="s">
        <v>44</v>
      </c>
      <c r="E320" s="73">
        <v>459</v>
      </c>
      <c r="F320" s="73">
        <f>C320*E320</f>
        <v>32.130000000000003</v>
      </c>
      <c r="G320" s="83"/>
      <c r="H320" s="69"/>
    </row>
    <row r="321" spans="1:8" ht="16.149999999999999" customHeight="1">
      <c r="A321" s="68"/>
      <c r="B321" s="69" t="s">
        <v>45</v>
      </c>
      <c r="C321" s="69">
        <v>1</v>
      </c>
      <c r="D321" s="70" t="s">
        <v>46</v>
      </c>
      <c r="E321" s="69">
        <f>16.4/1000</f>
        <v>1.6399999999999998E-2</v>
      </c>
      <c r="F321" s="69">
        <f>C321*E321</f>
        <v>1.6399999999999998E-2</v>
      </c>
      <c r="G321" s="69"/>
      <c r="H321" s="69"/>
    </row>
    <row r="322" spans="1:8" ht="16.149999999999999" customHeight="1">
      <c r="A322" s="68"/>
      <c r="B322" s="69"/>
      <c r="C322" s="69"/>
      <c r="D322" s="70"/>
      <c r="E322" s="69"/>
      <c r="F322" s="75">
        <f>SUM(F318:F321)</f>
        <v>61.1464</v>
      </c>
      <c r="G322" s="69"/>
      <c r="H322" s="69"/>
    </row>
    <row r="323" spans="1:8" ht="16.149999999999999" customHeight="1">
      <c r="A323" s="68"/>
      <c r="B323" s="69"/>
      <c r="C323" s="69"/>
      <c r="D323" s="70"/>
      <c r="E323" s="69"/>
      <c r="F323" s="75"/>
      <c r="G323" s="69"/>
      <c r="H323" s="69"/>
    </row>
    <row r="324" spans="1:8" ht="16.149999999999999" customHeight="1">
      <c r="A324" s="68">
        <v>8.1999999999999993</v>
      </c>
      <c r="B324" s="69" t="s">
        <v>348</v>
      </c>
      <c r="C324" s="70" t="s">
        <v>84</v>
      </c>
      <c r="D324" s="70" t="s">
        <v>6</v>
      </c>
      <c r="E324" s="70" t="s">
        <v>251</v>
      </c>
      <c r="F324" s="71" t="s">
        <v>92</v>
      </c>
      <c r="G324" s="70" t="s">
        <v>251</v>
      </c>
      <c r="H324" s="70" t="s">
        <v>221</v>
      </c>
    </row>
    <row r="325" spans="1:8" ht="16.149999999999999" customHeight="1">
      <c r="A325" s="68"/>
      <c r="B325" s="69" t="s">
        <v>41</v>
      </c>
      <c r="C325" s="73">
        <v>0.1</v>
      </c>
      <c r="D325" s="70" t="s">
        <v>20</v>
      </c>
      <c r="E325" s="73">
        <f>E318</f>
        <v>100</v>
      </c>
      <c r="F325" s="73">
        <f>C325*E325</f>
        <v>10</v>
      </c>
      <c r="G325" s="69"/>
      <c r="H325" s="69"/>
    </row>
    <row r="326" spans="1:8" ht="16.149999999999999" customHeight="1">
      <c r="A326" s="68"/>
      <c r="B326" s="68" t="s">
        <v>346</v>
      </c>
      <c r="C326" s="69">
        <v>0.04</v>
      </c>
      <c r="D326" s="70" t="s">
        <v>44</v>
      </c>
      <c r="E326" s="73">
        <v>475</v>
      </c>
      <c r="F326" s="69">
        <f>C326*E326</f>
        <v>19</v>
      </c>
      <c r="G326" s="69"/>
      <c r="H326" s="69"/>
    </row>
    <row r="327" spans="1:8" ht="16.149999999999999" customHeight="1">
      <c r="A327" s="68"/>
      <c r="B327" s="69" t="s">
        <v>349</v>
      </c>
      <c r="C327" s="69">
        <v>7.0000000000000007E-2</v>
      </c>
      <c r="D327" s="70" t="s">
        <v>44</v>
      </c>
      <c r="E327" s="73">
        <v>459</v>
      </c>
      <c r="F327" s="73">
        <f>C327*E327</f>
        <v>32.130000000000003</v>
      </c>
      <c r="G327" s="83"/>
      <c r="H327" s="69"/>
    </row>
    <row r="328" spans="1:8" ht="16.149999999999999" customHeight="1">
      <c r="A328" s="68"/>
      <c r="B328" s="69" t="s">
        <v>45</v>
      </c>
      <c r="C328" s="69">
        <v>1</v>
      </c>
      <c r="D328" s="70" t="s">
        <v>46</v>
      </c>
      <c r="E328" s="69">
        <f>16.4/1000</f>
        <v>1.6399999999999998E-2</v>
      </c>
      <c r="F328" s="69">
        <f>C328*E328</f>
        <v>1.6399999999999998E-2</v>
      </c>
      <c r="G328" s="69"/>
      <c r="H328" s="69"/>
    </row>
    <row r="329" spans="1:8" ht="16.149999999999999" customHeight="1">
      <c r="A329" s="68"/>
      <c r="B329" s="69"/>
      <c r="C329" s="69"/>
      <c r="D329" s="70"/>
      <c r="E329" s="69"/>
      <c r="F329" s="75">
        <f>SUM(F325:F328)</f>
        <v>61.1464</v>
      </c>
      <c r="G329" s="69"/>
      <c r="H329" s="69"/>
    </row>
    <row r="330" spans="1:8" ht="16.149999999999999" customHeight="1">
      <c r="A330" s="68"/>
      <c r="B330" s="69"/>
      <c r="C330" s="69"/>
      <c r="D330" s="70"/>
      <c r="E330" s="69"/>
      <c r="F330" s="75"/>
      <c r="G330" s="69"/>
      <c r="H330" s="69"/>
    </row>
    <row r="331" spans="1:8" ht="16.149999999999999" customHeight="1">
      <c r="A331" s="68">
        <v>8.3000000000000007</v>
      </c>
      <c r="B331" s="69" t="s">
        <v>350</v>
      </c>
      <c r="C331" s="70" t="s">
        <v>84</v>
      </c>
      <c r="D331" s="70" t="s">
        <v>6</v>
      </c>
      <c r="E331" s="70" t="s">
        <v>251</v>
      </c>
      <c r="F331" s="71" t="s">
        <v>92</v>
      </c>
      <c r="G331" s="70" t="s">
        <v>251</v>
      </c>
      <c r="H331" s="70" t="s">
        <v>221</v>
      </c>
    </row>
    <row r="332" spans="1:8" ht="16.149999999999999" customHeight="1">
      <c r="A332" s="68"/>
      <c r="B332" s="69" t="s">
        <v>351</v>
      </c>
      <c r="C332" s="69">
        <v>3.7999999999999999E-2</v>
      </c>
      <c r="D332" s="70" t="s">
        <v>44</v>
      </c>
      <c r="E332" s="73">
        <v>360.25</v>
      </c>
      <c r="F332" s="69">
        <f>C332*E332</f>
        <v>13.689499999999999</v>
      </c>
      <c r="G332" s="69"/>
      <c r="H332" s="69"/>
    </row>
    <row r="333" spans="1:8" ht="16.149999999999999" customHeight="1">
      <c r="A333" s="68"/>
      <c r="B333" s="69" t="s">
        <v>352</v>
      </c>
      <c r="C333" s="69">
        <v>7.5999999999999998E-2</v>
      </c>
      <c r="D333" s="70" t="s">
        <v>44</v>
      </c>
      <c r="E333" s="73">
        <v>635.25</v>
      </c>
      <c r="F333" s="73">
        <f>C333*E333</f>
        <v>48.278999999999996</v>
      </c>
      <c r="G333" s="69"/>
      <c r="H333" s="69"/>
    </row>
    <row r="334" spans="1:8" ht="16.149999999999999" customHeight="1">
      <c r="A334" s="68"/>
      <c r="B334" s="98" t="s">
        <v>353</v>
      </c>
      <c r="C334" s="69">
        <v>2.3E-2</v>
      </c>
      <c r="D334" s="70" t="s">
        <v>44</v>
      </c>
      <c r="E334" s="90">
        <v>179</v>
      </c>
      <c r="F334" s="73">
        <f>C334*E334</f>
        <v>4.117</v>
      </c>
      <c r="G334" s="69"/>
      <c r="H334" s="69"/>
    </row>
    <row r="335" spans="1:8" ht="16.149999999999999" customHeight="1">
      <c r="A335" s="68"/>
      <c r="B335" s="69"/>
      <c r="C335" s="69"/>
      <c r="D335" s="70"/>
      <c r="E335" s="69"/>
      <c r="F335" s="75">
        <f>SUM(F332:F334)</f>
        <v>66.085499999999996</v>
      </c>
      <c r="G335" s="69"/>
      <c r="H335" s="69"/>
    </row>
    <row r="336" spans="1:8" ht="16.149999999999999" customHeight="1">
      <c r="A336" s="68"/>
      <c r="B336" s="69"/>
      <c r="C336" s="69"/>
      <c r="D336" s="70"/>
      <c r="E336" s="69"/>
      <c r="F336" s="75"/>
      <c r="G336" s="69"/>
      <c r="H336" s="69"/>
    </row>
    <row r="337" spans="1:8" ht="16.149999999999999" customHeight="1">
      <c r="A337" s="68">
        <v>8.4</v>
      </c>
      <c r="B337" s="69" t="s">
        <v>354</v>
      </c>
      <c r="C337" s="70" t="s">
        <v>84</v>
      </c>
      <c r="D337" s="70" t="s">
        <v>6</v>
      </c>
      <c r="E337" s="70" t="s">
        <v>251</v>
      </c>
      <c r="F337" s="71" t="s">
        <v>92</v>
      </c>
      <c r="G337" s="70" t="s">
        <v>251</v>
      </c>
      <c r="H337" s="70" t="s">
        <v>221</v>
      </c>
    </row>
    <row r="338" spans="1:8" ht="16.149999999999999" customHeight="1">
      <c r="A338" s="68"/>
      <c r="B338" s="69" t="s">
        <v>355</v>
      </c>
      <c r="C338" s="69">
        <v>0.115</v>
      </c>
      <c r="D338" s="70" t="s">
        <v>44</v>
      </c>
      <c r="E338" s="73">
        <f>E332</f>
        <v>360.25</v>
      </c>
      <c r="F338" s="73">
        <f>C338*E338</f>
        <v>41.428750000000001</v>
      </c>
      <c r="G338" s="83"/>
      <c r="H338" s="69"/>
    </row>
    <row r="339" spans="1:8" ht="16.149999999999999" customHeight="1">
      <c r="A339" s="68"/>
      <c r="B339" s="98" t="s">
        <v>353</v>
      </c>
      <c r="C339" s="69">
        <v>2.3E-2</v>
      </c>
      <c r="D339" s="70" t="s">
        <v>44</v>
      </c>
      <c r="E339" s="90">
        <f>E334</f>
        <v>179</v>
      </c>
      <c r="F339" s="73">
        <f>C339*E339</f>
        <v>4.117</v>
      </c>
      <c r="G339" s="69"/>
      <c r="H339" s="69"/>
    </row>
    <row r="340" spans="1:8" ht="16.149999999999999" customHeight="1">
      <c r="A340" s="68"/>
      <c r="B340" s="69"/>
      <c r="C340" s="69"/>
      <c r="D340" s="70"/>
      <c r="E340" s="69"/>
      <c r="F340" s="75">
        <f>SUM(F338:F339)</f>
        <v>45.545749999999998</v>
      </c>
      <c r="G340" s="69"/>
      <c r="H340" s="69"/>
    </row>
    <row r="341" spans="1:8" ht="16.149999999999999" customHeight="1">
      <c r="A341" s="68"/>
      <c r="B341" s="69"/>
      <c r="C341" s="69"/>
      <c r="D341" s="70"/>
      <c r="E341" s="69"/>
      <c r="F341" s="75"/>
      <c r="G341" s="69"/>
      <c r="H341" s="69"/>
    </row>
    <row r="342" spans="1:8" ht="16.149999999999999" customHeight="1">
      <c r="A342" s="95">
        <v>8.5</v>
      </c>
      <c r="B342" s="69" t="s">
        <v>230</v>
      </c>
      <c r="C342" s="70" t="s">
        <v>84</v>
      </c>
      <c r="D342" s="70" t="s">
        <v>6</v>
      </c>
      <c r="E342" s="70" t="s">
        <v>251</v>
      </c>
      <c r="F342" s="71" t="s">
        <v>92</v>
      </c>
      <c r="G342" s="70" t="s">
        <v>251</v>
      </c>
      <c r="H342" s="70" t="s">
        <v>221</v>
      </c>
    </row>
    <row r="343" spans="1:8" ht="16.149999999999999" customHeight="1">
      <c r="A343" s="68"/>
      <c r="B343" s="69" t="s">
        <v>356</v>
      </c>
      <c r="C343" s="80">
        <v>0.5</v>
      </c>
      <c r="D343" s="70" t="s">
        <v>72</v>
      </c>
      <c r="E343" s="73">
        <v>5.44</v>
      </c>
      <c r="F343" s="73">
        <f>C343*E343</f>
        <v>2.72</v>
      </c>
      <c r="G343" s="69"/>
      <c r="H343" s="69"/>
    </row>
    <row r="344" spans="1:8" ht="16.149999999999999" customHeight="1">
      <c r="A344" s="68"/>
      <c r="B344" s="69" t="s">
        <v>41</v>
      </c>
      <c r="C344" s="73">
        <v>0.1</v>
      </c>
      <c r="D344" s="70" t="s">
        <v>20</v>
      </c>
      <c r="E344" s="73">
        <f>E318</f>
        <v>100</v>
      </c>
      <c r="F344" s="73">
        <f>C344*E344</f>
        <v>10</v>
      </c>
      <c r="G344" s="69"/>
      <c r="H344" s="69"/>
    </row>
    <row r="345" spans="1:8" ht="16.149999999999999" customHeight="1">
      <c r="A345" s="68"/>
      <c r="B345" s="69" t="s">
        <v>357</v>
      </c>
      <c r="C345" s="69">
        <v>7.5999999999999998E-2</v>
      </c>
      <c r="D345" s="70" t="s">
        <v>44</v>
      </c>
      <c r="E345" s="73">
        <v>423.5</v>
      </c>
      <c r="F345" s="69">
        <f>C345*E345</f>
        <v>32.186</v>
      </c>
      <c r="G345" s="69"/>
      <c r="H345" s="69"/>
    </row>
    <row r="346" spans="1:8" ht="16.149999999999999" customHeight="1">
      <c r="A346" s="68"/>
      <c r="B346" s="69" t="s">
        <v>352</v>
      </c>
      <c r="C346" s="69">
        <v>7.5999999999999998E-2</v>
      </c>
      <c r="D346" s="70" t="s">
        <v>44</v>
      </c>
      <c r="E346" s="73">
        <v>609</v>
      </c>
      <c r="F346" s="69">
        <f>C346*E346</f>
        <v>46.283999999999999</v>
      </c>
      <c r="G346" s="69"/>
      <c r="H346" s="69"/>
    </row>
    <row r="347" spans="1:8" ht="16.149999999999999" customHeight="1">
      <c r="A347" s="68"/>
      <c r="B347" s="69" t="s">
        <v>51</v>
      </c>
      <c r="C347" s="69">
        <v>3.1E-2</v>
      </c>
      <c r="D347" s="70" t="s">
        <v>44</v>
      </c>
      <c r="E347" s="73">
        <v>179</v>
      </c>
      <c r="F347" s="73">
        <f>C347*E347</f>
        <v>5.5490000000000004</v>
      </c>
      <c r="G347" s="69"/>
      <c r="H347" s="69"/>
    </row>
    <row r="348" spans="1:8" ht="16.149999999999999" customHeight="1">
      <c r="A348" s="68"/>
      <c r="B348" s="69"/>
      <c r="C348" s="69"/>
      <c r="D348" s="70"/>
      <c r="E348" s="69"/>
      <c r="F348" s="75">
        <f>SUM(F344:F347)</f>
        <v>94.019000000000005</v>
      </c>
      <c r="G348" s="69"/>
      <c r="H348" s="69"/>
    </row>
    <row r="349" spans="1:8" ht="16.149999999999999" customHeight="1">
      <c r="A349" s="68"/>
      <c r="B349" s="69"/>
      <c r="C349" s="69"/>
      <c r="D349" s="70"/>
      <c r="E349" s="69"/>
      <c r="F349" s="75"/>
      <c r="G349" s="69"/>
      <c r="H349" s="69"/>
    </row>
    <row r="350" spans="1:8" ht="16.149999999999999" customHeight="1">
      <c r="A350" s="68"/>
      <c r="B350" s="69"/>
      <c r="C350" s="69"/>
      <c r="D350" s="70"/>
      <c r="E350" s="69"/>
      <c r="F350" s="75"/>
      <c r="G350" s="69"/>
      <c r="H350" s="69"/>
    </row>
    <row r="351" spans="1:8" ht="16.149999999999999" customHeight="1">
      <c r="A351" s="68"/>
      <c r="B351" s="69"/>
      <c r="C351" s="69"/>
      <c r="D351" s="70"/>
      <c r="E351" s="69"/>
      <c r="F351" s="75"/>
      <c r="G351" s="69"/>
      <c r="H351" s="69"/>
    </row>
    <row r="352" spans="1:8" ht="16.149999999999999" customHeight="1">
      <c r="A352" s="68"/>
      <c r="B352" s="69"/>
      <c r="C352" s="69"/>
      <c r="D352" s="70"/>
      <c r="E352" s="69"/>
      <c r="F352" s="75"/>
      <c r="G352" s="69"/>
      <c r="H352" s="69"/>
    </row>
    <row r="353" spans="1:8" ht="16.149999999999999" customHeight="1">
      <c r="A353" s="68"/>
      <c r="B353" s="69"/>
      <c r="C353" s="69"/>
      <c r="D353" s="70"/>
      <c r="E353" s="69"/>
      <c r="F353" s="75"/>
      <c r="G353" s="69"/>
      <c r="H353" s="69"/>
    </row>
    <row r="354" spans="1:8" ht="16.149999999999999" customHeight="1">
      <c r="A354" s="68"/>
      <c r="B354" s="69"/>
      <c r="C354" s="69"/>
      <c r="D354" s="70"/>
      <c r="E354" s="69"/>
      <c r="F354" s="75"/>
      <c r="G354" s="69"/>
      <c r="H354" s="69"/>
    </row>
    <row r="355" spans="1:8" ht="16.149999999999999" customHeight="1">
      <c r="A355" s="68"/>
      <c r="B355" s="69"/>
      <c r="C355" s="69"/>
      <c r="D355" s="70"/>
      <c r="E355" s="73"/>
      <c r="F355" s="73"/>
      <c r="G355" s="69"/>
      <c r="H355" s="69"/>
    </row>
    <row r="356" spans="1:8" ht="16.149999999999999" customHeight="1">
      <c r="A356" s="62">
        <v>9</v>
      </c>
      <c r="B356" s="63" t="s">
        <v>106</v>
      </c>
      <c r="C356" s="69"/>
      <c r="D356" s="70"/>
      <c r="E356" s="69"/>
      <c r="F356" s="69"/>
      <c r="G356" s="69"/>
      <c r="H356" s="69"/>
    </row>
    <row r="357" spans="1:8" ht="16.149999999999999" customHeight="1">
      <c r="A357" s="68">
        <v>9.1</v>
      </c>
      <c r="B357" s="69" t="s">
        <v>365</v>
      </c>
      <c r="C357" s="70" t="s">
        <v>84</v>
      </c>
      <c r="D357" s="70" t="s">
        <v>6</v>
      </c>
      <c r="E357" s="70" t="s">
        <v>251</v>
      </c>
      <c r="F357" s="71" t="s">
        <v>92</v>
      </c>
      <c r="G357" s="70" t="s">
        <v>251</v>
      </c>
      <c r="H357" s="70" t="s">
        <v>221</v>
      </c>
    </row>
    <row r="358" spans="1:8" ht="16.149999999999999" customHeight="1">
      <c r="A358" s="68"/>
      <c r="B358" s="69" t="s">
        <v>358</v>
      </c>
      <c r="C358" s="73">
        <v>30.4</v>
      </c>
      <c r="D358" s="70" t="s">
        <v>20</v>
      </c>
      <c r="E358" s="73">
        <v>2.6259999999999999</v>
      </c>
      <c r="F358" s="73">
        <f t="shared" ref="F358:F365" si="25">C358*E358</f>
        <v>79.830399999999997</v>
      </c>
      <c r="G358" s="69"/>
      <c r="H358" s="69"/>
    </row>
    <row r="359" spans="1:8" ht="16.149999999999999" customHeight="1">
      <c r="A359" s="68"/>
      <c r="B359" s="69" t="s">
        <v>57</v>
      </c>
      <c r="C359" s="69">
        <v>0.04</v>
      </c>
      <c r="D359" s="70" t="s">
        <v>359</v>
      </c>
      <c r="E359" s="73">
        <v>475</v>
      </c>
      <c r="F359" s="73">
        <f t="shared" si="25"/>
        <v>19</v>
      </c>
      <c r="G359" s="73">
        <v>91</v>
      </c>
      <c r="H359" s="69">
        <f>C359*G359</f>
        <v>3.64</v>
      </c>
    </row>
    <row r="360" spans="1:8" ht="16.149999999999999" customHeight="1">
      <c r="A360" s="68"/>
      <c r="B360" s="69" t="s">
        <v>360</v>
      </c>
      <c r="C360" s="73">
        <v>0.1</v>
      </c>
      <c r="D360" s="70" t="s">
        <v>359</v>
      </c>
      <c r="E360" s="73">
        <v>550</v>
      </c>
      <c r="F360" s="73">
        <f t="shared" si="25"/>
        <v>55</v>
      </c>
      <c r="G360" s="73">
        <v>104</v>
      </c>
      <c r="H360" s="73">
        <f>C360*G360</f>
        <v>10.4</v>
      </c>
    </row>
    <row r="361" spans="1:8" ht="16.149999999999999" customHeight="1">
      <c r="A361" s="68"/>
      <c r="B361" s="69" t="s">
        <v>61</v>
      </c>
      <c r="C361" s="73">
        <v>9.6</v>
      </c>
      <c r="D361" s="70" t="s">
        <v>62</v>
      </c>
      <c r="E361" s="118">
        <f>E9</f>
        <v>1.6399999999999998E-2</v>
      </c>
      <c r="F361" s="73">
        <f t="shared" si="25"/>
        <v>0.15743999999999997</v>
      </c>
      <c r="G361" s="69"/>
      <c r="H361" s="69"/>
    </row>
    <row r="362" spans="1:8" ht="16.149999999999999" customHeight="1">
      <c r="A362" s="68"/>
      <c r="B362" s="69" t="s">
        <v>205</v>
      </c>
      <c r="C362" s="69">
        <v>2.82</v>
      </c>
      <c r="D362" s="70" t="s">
        <v>20</v>
      </c>
      <c r="E362" s="73">
        <v>26</v>
      </c>
      <c r="F362" s="73">
        <f t="shared" si="25"/>
        <v>73.319999999999993</v>
      </c>
      <c r="G362" s="73">
        <v>4.0999999999999996</v>
      </c>
      <c r="H362" s="73">
        <f t="shared" ref="H362:H363" si="26">C362*G362</f>
        <v>11.561999999999998</v>
      </c>
    </row>
    <row r="363" spans="1:8" ht="16.149999999999999" customHeight="1">
      <c r="A363" s="68"/>
      <c r="B363" s="69" t="s">
        <v>206</v>
      </c>
      <c r="C363" s="69">
        <v>2.14</v>
      </c>
      <c r="D363" s="70" t="s">
        <v>20</v>
      </c>
      <c r="E363" s="102">
        <v>25</v>
      </c>
      <c r="F363" s="73">
        <f t="shared" si="25"/>
        <v>53.5</v>
      </c>
      <c r="G363" s="73">
        <v>4.0999999999999996</v>
      </c>
      <c r="H363" s="73">
        <f t="shared" si="26"/>
        <v>8.7739999999999991</v>
      </c>
    </row>
    <row r="364" spans="1:8" ht="16.149999999999999" customHeight="1">
      <c r="A364" s="68"/>
      <c r="B364" s="69" t="s">
        <v>66</v>
      </c>
      <c r="C364" s="69">
        <v>0.15</v>
      </c>
      <c r="D364" s="70" t="s">
        <v>20</v>
      </c>
      <c r="E364" s="102">
        <v>32</v>
      </c>
      <c r="F364" s="73">
        <f t="shared" si="25"/>
        <v>4.8</v>
      </c>
      <c r="G364" s="69"/>
      <c r="H364" s="69"/>
    </row>
    <row r="365" spans="1:8" ht="16.149999999999999" customHeight="1">
      <c r="A365" s="68"/>
      <c r="B365" s="103" t="s">
        <v>361</v>
      </c>
      <c r="C365" s="73">
        <v>1.03</v>
      </c>
      <c r="D365" s="70" t="s">
        <v>312</v>
      </c>
      <c r="E365" s="73">
        <v>463</v>
      </c>
      <c r="F365" s="73">
        <f t="shared" si="25"/>
        <v>476.89</v>
      </c>
      <c r="G365" s="73">
        <v>133</v>
      </c>
      <c r="H365" s="69">
        <f>C365*G365</f>
        <v>136.99</v>
      </c>
    </row>
    <row r="366" spans="1:8" ht="16.149999999999999" customHeight="1">
      <c r="A366" s="68"/>
      <c r="B366" s="69" t="s">
        <v>71</v>
      </c>
      <c r="C366" s="69">
        <v>0.37</v>
      </c>
      <c r="D366" s="70" t="s">
        <v>20</v>
      </c>
      <c r="E366" s="102">
        <v>32</v>
      </c>
      <c r="F366" s="73">
        <f>C366*E366</f>
        <v>11.84</v>
      </c>
      <c r="G366" s="69"/>
      <c r="H366" s="69"/>
    </row>
    <row r="367" spans="1:8" ht="16.149999999999999" customHeight="1">
      <c r="A367" s="68"/>
      <c r="B367" s="69" t="s">
        <v>363</v>
      </c>
      <c r="C367" s="73">
        <v>1</v>
      </c>
      <c r="D367" s="70" t="s">
        <v>25</v>
      </c>
      <c r="E367" s="102">
        <v>250</v>
      </c>
      <c r="F367" s="73">
        <f>C367*E367</f>
        <v>250</v>
      </c>
      <c r="G367" s="73">
        <v>166</v>
      </c>
      <c r="H367" s="73">
        <f t="shared" ref="H367:H368" si="27">C367*G367</f>
        <v>166</v>
      </c>
    </row>
    <row r="368" spans="1:8" ht="16.149999999999999" customHeight="1">
      <c r="A368" s="68"/>
      <c r="B368" s="69" t="s">
        <v>364</v>
      </c>
      <c r="C368" s="73">
        <v>1</v>
      </c>
      <c r="D368" s="70" t="s">
        <v>25</v>
      </c>
      <c r="E368" s="102">
        <v>105</v>
      </c>
      <c r="F368" s="73">
        <f>C368*E368</f>
        <v>105</v>
      </c>
      <c r="G368" s="73">
        <v>61</v>
      </c>
      <c r="H368" s="73">
        <f t="shared" si="27"/>
        <v>61</v>
      </c>
    </row>
    <row r="369" spans="1:8" ht="16.149999999999999" customHeight="1">
      <c r="A369" s="68"/>
      <c r="B369" s="69" t="s">
        <v>362</v>
      </c>
      <c r="C369" s="69"/>
      <c r="D369" s="70"/>
      <c r="E369" s="69"/>
      <c r="F369" s="75">
        <f>SUM(F358:F368)</f>
        <v>1129.3378400000001</v>
      </c>
      <c r="G369" s="69"/>
      <c r="H369" s="75">
        <f>SUM(H358:H368)</f>
        <v>398.36599999999999</v>
      </c>
    </row>
    <row r="370" spans="1:8" ht="16.149999999999999" customHeight="1">
      <c r="A370" s="68">
        <v>9.1999999999999993</v>
      </c>
      <c r="B370" s="69" t="s">
        <v>366</v>
      </c>
      <c r="C370" s="73">
        <v>1.6</v>
      </c>
      <c r="D370" s="70" t="s">
        <v>25</v>
      </c>
      <c r="E370" s="73"/>
      <c r="F370" s="73">
        <f>C370*F369</f>
        <v>1806.9405440000003</v>
      </c>
      <c r="G370" s="69"/>
      <c r="H370" s="73">
        <f>C370*H369</f>
        <v>637.38560000000007</v>
      </c>
    </row>
    <row r="371" spans="1:8" ht="16.149999999999999" customHeight="1">
      <c r="A371" s="68">
        <v>9.3000000000000007</v>
      </c>
      <c r="B371" s="69" t="s">
        <v>367</v>
      </c>
      <c r="C371" s="73">
        <v>1.5</v>
      </c>
      <c r="D371" s="70" t="s">
        <v>25</v>
      </c>
      <c r="E371" s="73"/>
      <c r="F371" s="73">
        <f>C371*F369</f>
        <v>1694.0067600000002</v>
      </c>
      <c r="G371" s="69"/>
      <c r="H371" s="73">
        <f>C371*H369</f>
        <v>597.54899999999998</v>
      </c>
    </row>
    <row r="372" spans="1:8" ht="16.149999999999999" customHeight="1">
      <c r="A372" s="68"/>
      <c r="B372" s="69"/>
      <c r="C372" s="69"/>
      <c r="D372" s="70"/>
      <c r="E372" s="73"/>
      <c r="F372" s="73"/>
      <c r="G372" s="69"/>
      <c r="H372" s="69"/>
    </row>
    <row r="373" spans="1:8" ht="16.149999999999999" customHeight="1">
      <c r="A373" s="62">
        <v>10</v>
      </c>
      <c r="B373" s="63" t="s">
        <v>107</v>
      </c>
      <c r="C373" s="69"/>
      <c r="D373" s="70"/>
      <c r="E373" s="69"/>
      <c r="F373" s="69"/>
      <c r="G373" s="69"/>
      <c r="H373" s="69"/>
    </row>
    <row r="374" spans="1:8" ht="16.149999999999999" customHeight="1">
      <c r="A374" s="95">
        <v>10.1</v>
      </c>
      <c r="B374" s="69" t="s">
        <v>253</v>
      </c>
      <c r="C374" s="70" t="s">
        <v>84</v>
      </c>
      <c r="D374" s="70" t="s">
        <v>6</v>
      </c>
      <c r="E374" s="70" t="s">
        <v>251</v>
      </c>
      <c r="F374" s="71" t="s">
        <v>92</v>
      </c>
      <c r="G374" s="70" t="s">
        <v>251</v>
      </c>
      <c r="H374" s="70" t="s">
        <v>221</v>
      </c>
    </row>
    <row r="375" spans="1:8" ht="16.149999999999999" customHeight="1">
      <c r="A375" s="68"/>
      <c r="B375" s="69" t="s">
        <v>369</v>
      </c>
      <c r="C375" s="73">
        <f>6*3.3</f>
        <v>19.799999999999997</v>
      </c>
      <c r="D375" s="70" t="s">
        <v>20</v>
      </c>
      <c r="E375" s="73">
        <f>459/6/3.3</f>
        <v>23.181818181818183</v>
      </c>
      <c r="F375" s="73">
        <f t="shared" ref="F375:F380" si="28">C375*E375</f>
        <v>458.99999999999994</v>
      </c>
      <c r="G375" s="73">
        <v>6.5</v>
      </c>
      <c r="H375" s="73">
        <f>C375*G375</f>
        <v>128.69999999999999</v>
      </c>
    </row>
    <row r="376" spans="1:8" ht="16.149999999999999" customHeight="1">
      <c r="A376" s="68"/>
      <c r="B376" s="69" t="s">
        <v>368</v>
      </c>
      <c r="C376" s="69">
        <f>6*2.63</f>
        <v>15.78</v>
      </c>
      <c r="D376" s="70" t="s">
        <v>20</v>
      </c>
      <c r="E376" s="73">
        <f>351/6/2.63</f>
        <v>22.243346007604565</v>
      </c>
      <c r="F376" s="73">
        <f t="shared" si="28"/>
        <v>351</v>
      </c>
      <c r="G376" s="73">
        <v>6.5</v>
      </c>
      <c r="H376" s="73">
        <f>C376*G376</f>
        <v>102.57</v>
      </c>
    </row>
    <row r="377" spans="1:8" ht="16.149999999999999" customHeight="1">
      <c r="A377" s="68"/>
      <c r="B377" s="69" t="s">
        <v>370</v>
      </c>
      <c r="C377" s="69">
        <v>4</v>
      </c>
      <c r="D377" s="70" t="s">
        <v>72</v>
      </c>
      <c r="E377" s="73">
        <v>45</v>
      </c>
      <c r="F377" s="73">
        <f t="shared" si="28"/>
        <v>180</v>
      </c>
      <c r="G377" s="73">
        <v>15</v>
      </c>
      <c r="H377" s="73">
        <f>C377*G377</f>
        <v>60</v>
      </c>
    </row>
    <row r="378" spans="1:8" ht="16.149999999999999" customHeight="1">
      <c r="A378" s="68"/>
      <c r="B378" s="69" t="s">
        <v>371</v>
      </c>
      <c r="C378" s="69">
        <f>4*4</f>
        <v>16</v>
      </c>
      <c r="D378" s="70" t="s">
        <v>26</v>
      </c>
      <c r="E378" s="73">
        <v>15</v>
      </c>
      <c r="F378" s="73">
        <f t="shared" si="28"/>
        <v>240</v>
      </c>
      <c r="G378" s="69"/>
      <c r="H378" s="69"/>
    </row>
    <row r="379" spans="1:8" ht="16.149999999999999" customHeight="1">
      <c r="A379" s="68"/>
      <c r="B379" s="69" t="s">
        <v>256</v>
      </c>
      <c r="C379" s="73">
        <f>2*3.14*0.03815*6*1</f>
        <v>1.4374920000000002</v>
      </c>
      <c r="D379" s="70" t="s">
        <v>19</v>
      </c>
      <c r="E379" s="73">
        <f>F335</f>
        <v>66.085499999999996</v>
      </c>
      <c r="F379" s="73">
        <f t="shared" si="28"/>
        <v>94.997377566000011</v>
      </c>
      <c r="G379" s="73">
        <v>35</v>
      </c>
      <c r="H379" s="73">
        <f t="shared" ref="H379:H380" si="29">C379*G379</f>
        <v>50.312220000000011</v>
      </c>
    </row>
    <row r="380" spans="1:8" ht="16.149999999999999" customHeight="1">
      <c r="A380" s="68"/>
      <c r="B380" s="69" t="s">
        <v>255</v>
      </c>
      <c r="C380" s="73">
        <f>2*3.14*0.0243*6*1</f>
        <v>0.91562399999999999</v>
      </c>
      <c r="D380" s="70" t="s">
        <v>19</v>
      </c>
      <c r="E380" s="73">
        <f>F335</f>
        <v>66.085499999999996</v>
      </c>
      <c r="F380" s="73">
        <f t="shared" si="28"/>
        <v>60.509469851999995</v>
      </c>
      <c r="G380" s="73">
        <v>35</v>
      </c>
      <c r="H380" s="73">
        <f t="shared" si="29"/>
        <v>32.046840000000003</v>
      </c>
    </row>
    <row r="381" spans="1:8" ht="16.149999999999999" customHeight="1">
      <c r="A381" s="68"/>
      <c r="B381" s="69"/>
      <c r="C381" s="69"/>
      <c r="D381" s="70"/>
      <c r="E381" s="69"/>
      <c r="F381" s="75">
        <f>SUM(F375:F380)</f>
        <v>1385.506847418</v>
      </c>
      <c r="G381" s="69"/>
      <c r="H381" s="85">
        <f>SUM(H375:H380)</f>
        <v>373.62905999999998</v>
      </c>
    </row>
    <row r="382" spans="1:8" ht="16.149999999999999" customHeight="1">
      <c r="A382" s="68"/>
      <c r="B382" s="69"/>
      <c r="C382" s="69"/>
      <c r="D382" s="70"/>
      <c r="E382" s="69"/>
      <c r="F382" s="84"/>
      <c r="G382" s="69"/>
      <c r="H382" s="69"/>
    </row>
    <row r="383" spans="1:8" ht="16.149999999999999" customHeight="1">
      <c r="A383" s="95">
        <v>10.199999999999999</v>
      </c>
      <c r="B383" s="69" t="s">
        <v>372</v>
      </c>
      <c r="C383" s="70" t="s">
        <v>84</v>
      </c>
      <c r="D383" s="70" t="s">
        <v>6</v>
      </c>
      <c r="E383" s="70" t="s">
        <v>251</v>
      </c>
      <c r="F383" s="71" t="s">
        <v>92</v>
      </c>
      <c r="G383" s="70" t="s">
        <v>251</v>
      </c>
      <c r="H383" s="70" t="s">
        <v>221</v>
      </c>
    </row>
    <row r="384" spans="1:8" ht="16.149999999999999" customHeight="1">
      <c r="A384" s="68"/>
      <c r="B384" s="69" t="s">
        <v>373</v>
      </c>
      <c r="C384" s="73">
        <f>6*5.08*6</f>
        <v>182.88</v>
      </c>
      <c r="D384" s="70" t="s">
        <v>20</v>
      </c>
      <c r="E384" s="73">
        <v>22.92</v>
      </c>
      <c r="F384" s="73">
        <f>C384*E384</f>
        <v>4191.6095999999998</v>
      </c>
      <c r="G384" s="73">
        <v>6.5</v>
      </c>
      <c r="H384" s="73">
        <f>C384*G384</f>
        <v>1188.72</v>
      </c>
    </row>
    <row r="385" spans="1:8" ht="16.149999999999999" customHeight="1">
      <c r="A385" s="68"/>
      <c r="B385" s="69" t="s">
        <v>49</v>
      </c>
      <c r="C385" s="73">
        <f>2*3.14*0.03815*6*6</f>
        <v>8.6249520000000004</v>
      </c>
      <c r="D385" s="70" t="s">
        <v>19</v>
      </c>
      <c r="E385" s="73">
        <f>F335</f>
        <v>66.085499999999996</v>
      </c>
      <c r="F385" s="73">
        <f>C385*E385</f>
        <v>569.98426539599996</v>
      </c>
      <c r="G385" s="73">
        <v>35</v>
      </c>
      <c r="H385" s="73">
        <f>C385*G385</f>
        <v>301.87332000000004</v>
      </c>
    </row>
    <row r="386" spans="1:8" ht="16.149999999999999" customHeight="1">
      <c r="A386" s="68"/>
      <c r="B386" s="69"/>
      <c r="C386" s="69"/>
      <c r="D386" s="70"/>
      <c r="E386" s="69"/>
      <c r="F386" s="77">
        <f>SUM(F384:F385)</f>
        <v>4761.5938653960002</v>
      </c>
      <c r="G386" s="77"/>
      <c r="H386" s="77">
        <f>SUM(H384:H385)</f>
        <v>1490.5933199999999</v>
      </c>
    </row>
    <row r="387" spans="1:8" ht="16.149999999999999" customHeight="1">
      <c r="A387" s="68"/>
      <c r="B387" s="69"/>
      <c r="C387" s="69"/>
      <c r="D387" s="70"/>
      <c r="E387" s="69"/>
      <c r="F387" s="75">
        <f>F386/8</f>
        <v>595.19923317450002</v>
      </c>
      <c r="G387" s="85"/>
      <c r="H387" s="85">
        <f>H386/8</f>
        <v>186.32416499999999</v>
      </c>
    </row>
    <row r="388" spans="1:8" ht="16.149999999999999" customHeight="1">
      <c r="A388" s="68"/>
      <c r="B388" s="69"/>
      <c r="C388" s="69"/>
      <c r="D388" s="70"/>
      <c r="E388" s="69"/>
      <c r="F388" s="84"/>
      <c r="G388" s="69"/>
      <c r="H388" s="69"/>
    </row>
    <row r="389" spans="1:8" ht="16.149999999999999" customHeight="1">
      <c r="A389" s="95">
        <v>10.3</v>
      </c>
      <c r="B389" s="69" t="s">
        <v>374</v>
      </c>
      <c r="C389" s="70" t="s">
        <v>84</v>
      </c>
      <c r="D389" s="70" t="s">
        <v>6</v>
      </c>
      <c r="E389" s="70" t="s">
        <v>251</v>
      </c>
      <c r="F389" s="71" t="s">
        <v>92</v>
      </c>
      <c r="G389" s="70" t="s">
        <v>251</v>
      </c>
      <c r="H389" s="70" t="s">
        <v>221</v>
      </c>
    </row>
    <row r="390" spans="1:8" ht="16.149999999999999" customHeight="1">
      <c r="A390" s="68"/>
      <c r="B390" s="69" t="s">
        <v>375</v>
      </c>
      <c r="C390" s="71">
        <f>35*5.08*6</f>
        <v>1066.8000000000002</v>
      </c>
      <c r="D390" s="70" t="s">
        <v>20</v>
      </c>
      <c r="E390" s="73">
        <v>22.92</v>
      </c>
      <c r="F390" s="73">
        <f>C390*E390</f>
        <v>24451.056000000008</v>
      </c>
      <c r="G390" s="73">
        <v>6.5</v>
      </c>
      <c r="H390" s="73">
        <f t="shared" ref="H390:H391" si="30">C390*G390</f>
        <v>6934.2000000000007</v>
      </c>
    </row>
    <row r="391" spans="1:8" ht="16.149999999999999" customHeight="1">
      <c r="A391" s="68"/>
      <c r="B391" s="69" t="s">
        <v>49</v>
      </c>
      <c r="C391" s="71">
        <f>2*3.14*0.03815*6*35</f>
        <v>50.312220000000011</v>
      </c>
      <c r="D391" s="70" t="s">
        <v>19</v>
      </c>
      <c r="E391" s="73">
        <f>F335</f>
        <v>66.085499999999996</v>
      </c>
      <c r="F391" s="73">
        <f>C391*E391</f>
        <v>3324.9082148100006</v>
      </c>
      <c r="G391" s="73">
        <v>35</v>
      </c>
      <c r="H391" s="73">
        <f t="shared" si="30"/>
        <v>1760.9277000000004</v>
      </c>
    </row>
    <row r="392" spans="1:8" ht="16.149999999999999" customHeight="1">
      <c r="A392" s="68"/>
      <c r="B392" s="69"/>
      <c r="C392" s="69"/>
      <c r="D392" s="70"/>
      <c r="E392" s="69"/>
      <c r="F392" s="77">
        <f>SUM(F390:F391)</f>
        <v>27775.96421481001</v>
      </c>
      <c r="G392" s="69"/>
      <c r="H392" s="77">
        <f>SUM(H390:H391)</f>
        <v>8695.1277000000009</v>
      </c>
    </row>
    <row r="393" spans="1:8" ht="16.149999999999999" customHeight="1">
      <c r="A393" s="68"/>
      <c r="B393" s="69"/>
      <c r="C393" s="69"/>
      <c r="D393" s="70"/>
      <c r="E393" s="69"/>
      <c r="F393" s="75">
        <f>F392/204</f>
        <v>136.15668732750004</v>
      </c>
      <c r="G393" s="69"/>
      <c r="H393" s="75">
        <f>H392/204</f>
        <v>42.623175000000003</v>
      </c>
    </row>
    <row r="394" spans="1:8" ht="16.149999999999999" customHeight="1">
      <c r="A394" s="68"/>
      <c r="B394" s="69"/>
      <c r="C394" s="69"/>
      <c r="D394" s="70"/>
      <c r="E394" s="69"/>
      <c r="F394" s="75"/>
      <c r="G394" s="69"/>
      <c r="H394" s="69"/>
    </row>
    <row r="395" spans="1:8" ht="16.149999999999999" customHeight="1">
      <c r="A395" s="95">
        <v>10.4</v>
      </c>
      <c r="B395" s="69" t="s">
        <v>257</v>
      </c>
      <c r="C395" s="70" t="s">
        <v>84</v>
      </c>
      <c r="D395" s="70" t="s">
        <v>6</v>
      </c>
      <c r="E395" s="70" t="s">
        <v>251</v>
      </c>
      <c r="F395" s="71" t="s">
        <v>92</v>
      </c>
      <c r="G395" s="70" t="s">
        <v>251</v>
      </c>
      <c r="H395" s="70" t="s">
        <v>221</v>
      </c>
    </row>
    <row r="396" spans="1:8" ht="16.149999999999999" customHeight="1">
      <c r="A396" s="68"/>
      <c r="B396" s="69" t="s">
        <v>376</v>
      </c>
      <c r="C396" s="73">
        <f>9*5.08*6</f>
        <v>274.32</v>
      </c>
      <c r="D396" s="70" t="s">
        <v>20</v>
      </c>
      <c r="E396" s="73">
        <v>22.92</v>
      </c>
      <c r="F396" s="73">
        <f t="shared" ref="F396:F401" si="31">C396*E396</f>
        <v>6287.4144000000006</v>
      </c>
      <c r="G396" s="73">
        <v>6.5</v>
      </c>
      <c r="H396" s="73">
        <f t="shared" ref="H396:H401" si="32">C396*G396</f>
        <v>1783.08</v>
      </c>
    </row>
    <row r="397" spans="1:8" ht="16.149999999999999" customHeight="1">
      <c r="A397" s="68"/>
      <c r="B397" s="69" t="s">
        <v>377</v>
      </c>
      <c r="C397" s="73">
        <f>6*3.33*6</f>
        <v>119.88</v>
      </c>
      <c r="D397" s="70" t="s">
        <v>20</v>
      </c>
      <c r="E397" s="73">
        <v>22.92</v>
      </c>
      <c r="F397" s="73">
        <f t="shared" si="31"/>
        <v>2747.6496000000002</v>
      </c>
      <c r="G397" s="73">
        <v>6.5</v>
      </c>
      <c r="H397" s="73">
        <f t="shared" si="32"/>
        <v>779.22</v>
      </c>
    </row>
    <row r="398" spans="1:8" ht="16.149999999999999" customHeight="1">
      <c r="A398" s="68"/>
      <c r="B398" s="69" t="s">
        <v>378</v>
      </c>
      <c r="C398" s="73">
        <f>7*2.63*6</f>
        <v>110.46000000000001</v>
      </c>
      <c r="D398" s="70" t="s">
        <v>20</v>
      </c>
      <c r="E398" s="73">
        <v>22.92</v>
      </c>
      <c r="F398" s="73">
        <f t="shared" si="31"/>
        <v>2531.7432000000003</v>
      </c>
      <c r="G398" s="73">
        <v>6.5</v>
      </c>
      <c r="H398" s="73">
        <f t="shared" si="32"/>
        <v>717.99</v>
      </c>
    </row>
    <row r="399" spans="1:8" ht="16.149999999999999" customHeight="1">
      <c r="A399" s="68"/>
      <c r="B399" s="69" t="s">
        <v>254</v>
      </c>
      <c r="C399" s="73">
        <f>2*3.14*0.03815*6*9</f>
        <v>12.937428000000002</v>
      </c>
      <c r="D399" s="70" t="s">
        <v>19</v>
      </c>
      <c r="E399" s="73">
        <f>E391</f>
        <v>66.085499999999996</v>
      </c>
      <c r="F399" s="73">
        <f t="shared" si="31"/>
        <v>854.97639809400016</v>
      </c>
      <c r="G399" s="73">
        <v>35</v>
      </c>
      <c r="H399" s="73">
        <f t="shared" si="32"/>
        <v>452.80998000000011</v>
      </c>
    </row>
    <row r="400" spans="1:8" ht="16.149999999999999" customHeight="1">
      <c r="A400" s="68"/>
      <c r="B400" s="69" t="s">
        <v>255</v>
      </c>
      <c r="C400" s="73">
        <f>2*3.14*0.03025*6*6</f>
        <v>6.8389199999999999</v>
      </c>
      <c r="D400" s="70" t="s">
        <v>19</v>
      </c>
      <c r="E400" s="73">
        <f>E391</f>
        <v>66.085499999999996</v>
      </c>
      <c r="F400" s="73">
        <f t="shared" si="31"/>
        <v>451.95344765999994</v>
      </c>
      <c r="G400" s="73">
        <v>35</v>
      </c>
      <c r="H400" s="73">
        <f t="shared" si="32"/>
        <v>239.3622</v>
      </c>
    </row>
    <row r="401" spans="1:8" ht="16.149999999999999" customHeight="1">
      <c r="A401" s="68"/>
      <c r="B401" s="69" t="s">
        <v>256</v>
      </c>
      <c r="C401" s="73">
        <f>2*3.14*0.0243*6*7</f>
        <v>6.4093679999999997</v>
      </c>
      <c r="D401" s="70" t="s">
        <v>19</v>
      </c>
      <c r="E401" s="73">
        <f>E391</f>
        <v>66.085499999999996</v>
      </c>
      <c r="F401" s="73">
        <f t="shared" si="31"/>
        <v>423.56628896399997</v>
      </c>
      <c r="G401" s="73">
        <v>35</v>
      </c>
      <c r="H401" s="73">
        <f t="shared" si="32"/>
        <v>224.32787999999999</v>
      </c>
    </row>
    <row r="402" spans="1:8" ht="16.149999999999999" customHeight="1">
      <c r="A402" s="68"/>
      <c r="B402" s="69"/>
      <c r="C402" s="69"/>
      <c r="D402" s="70"/>
      <c r="E402" s="69"/>
      <c r="F402" s="77">
        <f>SUM(F396:F401)</f>
        <v>13297.303334718003</v>
      </c>
      <c r="G402" s="69"/>
      <c r="H402" s="77">
        <f>SUM(H396:H401)</f>
        <v>4196.7900600000003</v>
      </c>
    </row>
    <row r="403" spans="1:8" ht="16.149999999999999" customHeight="1">
      <c r="A403" s="68"/>
      <c r="B403" s="69"/>
      <c r="C403" s="69"/>
      <c r="D403" s="70"/>
      <c r="E403" s="69"/>
      <c r="F403" s="75">
        <f>F402/22</f>
        <v>604.42287885081828</v>
      </c>
      <c r="G403" s="69"/>
      <c r="H403" s="75">
        <f>H402/22</f>
        <v>190.76318454545455</v>
      </c>
    </row>
    <row r="404" spans="1:8" ht="16.149999999999999" customHeight="1">
      <c r="A404" s="68"/>
      <c r="B404" s="69"/>
      <c r="C404" s="69"/>
      <c r="D404" s="70"/>
      <c r="E404" s="69"/>
      <c r="F404" s="75"/>
      <c r="G404" s="69"/>
      <c r="H404" s="75"/>
    </row>
    <row r="405" spans="1:8" ht="16.149999999999999" customHeight="1">
      <c r="A405" s="95"/>
      <c r="B405" s="69"/>
      <c r="C405" s="69"/>
      <c r="D405" s="70"/>
      <c r="E405" s="69"/>
      <c r="F405" s="69"/>
      <c r="G405" s="69"/>
      <c r="H405" s="69"/>
    </row>
    <row r="406" spans="1:8" ht="16.149999999999999" customHeight="1">
      <c r="A406" s="95">
        <v>10.5</v>
      </c>
      <c r="B406" s="69" t="s">
        <v>542</v>
      </c>
      <c r="C406" s="69"/>
      <c r="D406" s="70"/>
      <c r="E406" s="69"/>
      <c r="F406" s="69"/>
      <c r="G406" s="69"/>
      <c r="H406" s="69"/>
    </row>
    <row r="407" spans="1:8" ht="16.149999999999999" customHeight="1">
      <c r="A407" s="95"/>
      <c r="B407" s="69" t="s">
        <v>386</v>
      </c>
      <c r="C407" s="69"/>
      <c r="D407" s="70"/>
      <c r="E407" s="69"/>
      <c r="F407" s="69"/>
      <c r="G407" s="69"/>
      <c r="H407" s="69"/>
    </row>
    <row r="408" spans="1:8" ht="16.149999999999999" customHeight="1">
      <c r="A408" s="68"/>
      <c r="B408" s="79" t="s">
        <v>245</v>
      </c>
      <c r="C408" s="69" t="s">
        <v>387</v>
      </c>
      <c r="D408" s="70"/>
      <c r="E408" s="69"/>
      <c r="F408" s="69"/>
      <c r="G408" s="69"/>
      <c r="H408" s="69"/>
    </row>
    <row r="409" spans="1:8" ht="16.149999999999999" customHeight="1">
      <c r="A409" s="68"/>
      <c r="B409" s="69" t="s">
        <v>389</v>
      </c>
      <c r="C409" s="69" t="s">
        <v>388</v>
      </c>
      <c r="D409" s="70"/>
      <c r="E409" s="69"/>
      <c r="F409" s="69"/>
      <c r="G409" s="69"/>
      <c r="H409" s="69"/>
    </row>
    <row r="410" spans="1:8" ht="16.149999999999999" customHeight="1">
      <c r="A410" s="68"/>
      <c r="B410" s="80"/>
      <c r="C410" s="70" t="s">
        <v>84</v>
      </c>
      <c r="D410" s="70" t="s">
        <v>6</v>
      </c>
      <c r="E410" s="70" t="s">
        <v>251</v>
      </c>
      <c r="F410" s="71" t="s">
        <v>92</v>
      </c>
      <c r="G410" s="70" t="s">
        <v>251</v>
      </c>
      <c r="H410" s="70" t="s">
        <v>221</v>
      </c>
    </row>
    <row r="411" spans="1:8" ht="16.149999999999999" customHeight="1">
      <c r="A411" s="68"/>
      <c r="B411" s="69" t="s">
        <v>392</v>
      </c>
      <c r="C411" s="73">
        <f>4*12</f>
        <v>48</v>
      </c>
      <c r="D411" s="70" t="s">
        <v>244</v>
      </c>
      <c r="E411" s="73">
        <v>180</v>
      </c>
      <c r="F411" s="73">
        <f>C411*E411</f>
        <v>8640</v>
      </c>
      <c r="G411" s="69"/>
      <c r="H411" s="69"/>
    </row>
    <row r="412" spans="1:8" ht="16.149999999999999" customHeight="1">
      <c r="A412" s="68"/>
      <c r="B412" s="69" t="s">
        <v>391</v>
      </c>
      <c r="C412" s="73">
        <f>12*12</f>
        <v>144</v>
      </c>
      <c r="D412" s="70" t="s">
        <v>244</v>
      </c>
      <c r="E412" s="73">
        <v>180</v>
      </c>
      <c r="F412" s="73">
        <f>C412*E412</f>
        <v>25920</v>
      </c>
      <c r="G412" s="69"/>
      <c r="H412" s="69"/>
    </row>
    <row r="413" spans="1:8" ht="16.149999999999999" customHeight="1">
      <c r="A413" s="68"/>
      <c r="B413" s="69" t="s">
        <v>385</v>
      </c>
      <c r="C413" s="73">
        <f>3.5*12</f>
        <v>42</v>
      </c>
      <c r="D413" s="70" t="s">
        <v>244</v>
      </c>
      <c r="E413" s="73">
        <f>25.03*6*1.53</f>
        <v>229.77540000000002</v>
      </c>
      <c r="F413" s="73">
        <f>C413*E413</f>
        <v>9650.5668000000005</v>
      </c>
      <c r="G413" s="69"/>
      <c r="H413" s="69"/>
    </row>
    <row r="414" spans="1:8" ht="16.149999999999999" customHeight="1">
      <c r="A414" s="68"/>
      <c r="B414" s="69" t="s">
        <v>247</v>
      </c>
      <c r="C414" s="69"/>
      <c r="D414" s="70"/>
      <c r="E414" s="69"/>
      <c r="F414" s="69"/>
      <c r="G414" s="69"/>
      <c r="H414" s="69"/>
    </row>
    <row r="415" spans="1:8" ht="16.149999999999999" customHeight="1">
      <c r="A415" s="68"/>
      <c r="B415" s="79" t="s">
        <v>393</v>
      </c>
      <c r="C415" s="69" t="s">
        <v>394</v>
      </c>
      <c r="D415" s="70"/>
      <c r="E415" s="69"/>
      <c r="F415" s="69"/>
      <c r="G415" s="69"/>
      <c r="H415" s="69"/>
    </row>
    <row r="416" spans="1:8" ht="16.149999999999999" customHeight="1">
      <c r="A416" s="68"/>
      <c r="B416" s="79"/>
      <c r="C416" s="69" t="s">
        <v>395</v>
      </c>
      <c r="D416" s="70"/>
      <c r="E416" s="69"/>
      <c r="F416" s="69"/>
      <c r="G416" s="69"/>
      <c r="H416" s="69"/>
    </row>
    <row r="417" spans="1:8" ht="16.149999999999999" customHeight="1">
      <c r="A417" s="68"/>
      <c r="B417" s="69" t="s">
        <v>396</v>
      </c>
      <c r="C417" s="69" t="s">
        <v>397</v>
      </c>
      <c r="D417" s="70"/>
      <c r="E417" s="69"/>
      <c r="F417" s="69"/>
      <c r="G417" s="69"/>
      <c r="H417" s="69"/>
    </row>
    <row r="418" spans="1:8" ht="16.149999999999999" customHeight="1">
      <c r="A418" s="68"/>
      <c r="B418" s="69"/>
      <c r="C418" s="69" t="s">
        <v>398</v>
      </c>
      <c r="D418" s="70"/>
      <c r="E418" s="69"/>
      <c r="F418" s="69"/>
      <c r="G418" s="69"/>
      <c r="H418" s="69"/>
    </row>
    <row r="419" spans="1:8" ht="16.149999999999999" customHeight="1">
      <c r="A419" s="68"/>
      <c r="B419" s="80"/>
      <c r="C419" s="70" t="s">
        <v>84</v>
      </c>
      <c r="D419" s="70" t="s">
        <v>6</v>
      </c>
      <c r="E419" s="70" t="s">
        <v>251</v>
      </c>
      <c r="F419" s="71" t="s">
        <v>92</v>
      </c>
      <c r="G419" s="70" t="s">
        <v>251</v>
      </c>
      <c r="H419" s="70" t="s">
        <v>221</v>
      </c>
    </row>
    <row r="420" spans="1:8" ht="16.149999999999999" customHeight="1">
      <c r="A420" s="68"/>
      <c r="B420" s="69" t="s">
        <v>399</v>
      </c>
      <c r="C420" s="73">
        <f>19*3</f>
        <v>57</v>
      </c>
      <c r="D420" s="70" t="s">
        <v>244</v>
      </c>
      <c r="E420" s="73">
        <v>180</v>
      </c>
      <c r="F420" s="73">
        <f>C420*E420</f>
        <v>10260</v>
      </c>
      <c r="G420" s="69"/>
      <c r="H420" s="69"/>
    </row>
    <row r="421" spans="1:8" ht="16.149999999999999" customHeight="1">
      <c r="A421" s="68"/>
      <c r="B421" s="69" t="s">
        <v>400</v>
      </c>
      <c r="C421" s="73">
        <f>60*3</f>
        <v>180</v>
      </c>
      <c r="D421" s="70" t="s">
        <v>244</v>
      </c>
      <c r="E421" s="73">
        <v>180</v>
      </c>
      <c r="F421" s="73">
        <f>C421*E421</f>
        <v>32400</v>
      </c>
      <c r="G421" s="69"/>
      <c r="H421" s="69"/>
    </row>
    <row r="422" spans="1:8" ht="16.149999999999999" customHeight="1">
      <c r="A422" s="68"/>
      <c r="B422" s="69" t="s">
        <v>385</v>
      </c>
      <c r="C422" s="73">
        <f>18*3</f>
        <v>54</v>
      </c>
      <c r="D422" s="70" t="s">
        <v>244</v>
      </c>
      <c r="E422" s="73">
        <f>25.03*6*1.53</f>
        <v>229.77540000000002</v>
      </c>
      <c r="F422" s="73">
        <f>C422*E422</f>
        <v>12407.8716</v>
      </c>
      <c r="G422" s="69"/>
      <c r="H422" s="69"/>
    </row>
    <row r="423" spans="1:8" ht="16.149999999999999" customHeight="1">
      <c r="A423" s="68"/>
      <c r="B423" s="79" t="s">
        <v>401</v>
      </c>
      <c r="C423" s="69"/>
      <c r="D423" s="70"/>
      <c r="E423" s="69"/>
      <c r="F423" s="70"/>
      <c r="G423" s="70"/>
      <c r="H423" s="70"/>
    </row>
    <row r="424" spans="1:8" ht="16.149999999999999" customHeight="1">
      <c r="A424" s="68"/>
      <c r="B424" s="79"/>
      <c r="C424" s="70" t="s">
        <v>84</v>
      </c>
      <c r="D424" s="70" t="s">
        <v>6</v>
      </c>
      <c r="E424" s="70" t="s">
        <v>251</v>
      </c>
      <c r="F424" s="71" t="s">
        <v>92</v>
      </c>
      <c r="G424" s="70" t="s">
        <v>251</v>
      </c>
      <c r="H424" s="70" t="s">
        <v>221</v>
      </c>
    </row>
    <row r="425" spans="1:8" ht="16.149999999999999" customHeight="1">
      <c r="A425" s="68"/>
      <c r="B425" s="69" t="s">
        <v>402</v>
      </c>
      <c r="C425" s="73">
        <f>105*6*1.53</f>
        <v>963.9</v>
      </c>
      <c r="D425" s="70" t="s">
        <v>20</v>
      </c>
      <c r="E425" s="73">
        <v>25.05</v>
      </c>
      <c r="F425" s="73">
        <f>C425*E425</f>
        <v>24145.695</v>
      </c>
      <c r="G425" s="73">
        <v>6.5</v>
      </c>
      <c r="H425" s="69">
        <f>C425*G425</f>
        <v>6265.3499999999995</v>
      </c>
    </row>
    <row r="426" spans="1:8" ht="16.149999999999999" customHeight="1">
      <c r="A426" s="68"/>
      <c r="B426" s="69" t="s">
        <v>390</v>
      </c>
      <c r="C426" s="73">
        <f>C412+C421</f>
        <v>324</v>
      </c>
      <c r="D426" s="70" t="s">
        <v>244</v>
      </c>
      <c r="E426" s="73">
        <v>185</v>
      </c>
      <c r="F426" s="73">
        <f>C426*E426</f>
        <v>59940</v>
      </c>
      <c r="G426" s="119">
        <v>0.1</v>
      </c>
      <c r="H426" s="73">
        <f>F426*0.1</f>
        <v>5994</v>
      </c>
    </row>
    <row r="427" spans="1:8" ht="16.149999999999999" customHeight="1">
      <c r="A427" s="68"/>
      <c r="B427" s="69" t="s">
        <v>385</v>
      </c>
      <c r="C427" s="73">
        <f>C413+C422</f>
        <v>96</v>
      </c>
      <c r="D427" s="70" t="s">
        <v>244</v>
      </c>
      <c r="E427" s="73">
        <v>155</v>
      </c>
      <c r="F427" s="73">
        <f>C427*E427</f>
        <v>14880</v>
      </c>
      <c r="G427" s="119">
        <v>0.1</v>
      </c>
      <c r="H427" s="73">
        <f>F427*0.1</f>
        <v>1488</v>
      </c>
    </row>
    <row r="428" spans="1:8" ht="16.149999999999999" customHeight="1">
      <c r="A428" s="68"/>
      <c r="B428" s="69" t="s">
        <v>246</v>
      </c>
      <c r="C428" s="73">
        <f>0.025*4*6*105</f>
        <v>63.000000000000007</v>
      </c>
      <c r="D428" s="70" t="s">
        <v>19</v>
      </c>
      <c r="E428" s="73">
        <f>F335</f>
        <v>66.085499999999996</v>
      </c>
      <c r="F428" s="73">
        <f>C428*E428</f>
        <v>4163.3865000000005</v>
      </c>
      <c r="G428" s="73">
        <v>35</v>
      </c>
      <c r="H428" s="73">
        <f>C428*G428</f>
        <v>2205.0000000000005</v>
      </c>
    </row>
    <row r="429" spans="1:8" ht="16.149999999999999" customHeight="1">
      <c r="A429" s="68"/>
      <c r="B429" s="69" t="s">
        <v>403</v>
      </c>
      <c r="C429" s="69"/>
      <c r="D429" s="70"/>
      <c r="E429" s="69"/>
      <c r="F429" s="73">
        <f>SUM(F425:F427)*0.1</f>
        <v>9896.5695000000014</v>
      </c>
      <c r="G429" s="69"/>
      <c r="H429" s="69">
        <f>F429*0.3</f>
        <v>2968.9708500000002</v>
      </c>
    </row>
    <row r="430" spans="1:8" ht="16.149999999999999" customHeight="1">
      <c r="A430" s="68"/>
      <c r="B430" s="69"/>
      <c r="C430" s="69"/>
      <c r="D430" s="70"/>
      <c r="E430" s="69"/>
      <c r="F430" s="77">
        <f>SUM(F425:F429)</f>
        <v>113025.651</v>
      </c>
      <c r="G430" s="77"/>
      <c r="H430" s="77">
        <f>SUM(H425:H429)</f>
        <v>18921.32085</v>
      </c>
    </row>
    <row r="431" spans="1:8" ht="16.149999999999999" customHeight="1">
      <c r="A431" s="68"/>
      <c r="B431" s="69"/>
      <c r="C431" s="69"/>
      <c r="D431" s="70"/>
      <c r="E431" s="69"/>
      <c r="F431" s="85">
        <f>F430/156</f>
        <v>724.52340384615388</v>
      </c>
      <c r="G431" s="85"/>
      <c r="H431" s="85">
        <f>H430/156</f>
        <v>121.29051826923077</v>
      </c>
    </row>
    <row r="432" spans="1:8" ht="16.149999999999999" customHeight="1">
      <c r="A432" s="68"/>
      <c r="B432" s="69"/>
      <c r="C432" s="69"/>
      <c r="D432" s="70"/>
      <c r="E432" s="69"/>
      <c r="F432" s="94"/>
      <c r="G432" s="69"/>
      <c r="H432" s="69"/>
    </row>
    <row r="433" spans="1:8" ht="16.149999999999999" customHeight="1">
      <c r="A433" s="68"/>
      <c r="B433" s="69"/>
      <c r="C433" s="69"/>
      <c r="D433" s="70"/>
      <c r="E433" s="69"/>
      <c r="F433" s="94"/>
      <c r="G433" s="69"/>
      <c r="H433" s="69"/>
    </row>
    <row r="434" spans="1:8" ht="16.149999999999999" customHeight="1">
      <c r="A434" s="68"/>
      <c r="B434" s="69"/>
      <c r="C434" s="69"/>
      <c r="D434" s="70"/>
      <c r="E434" s="69"/>
      <c r="F434" s="94"/>
      <c r="G434" s="69"/>
      <c r="H434" s="69"/>
    </row>
    <row r="435" spans="1:8" ht="16.149999999999999" customHeight="1">
      <c r="A435" s="68"/>
      <c r="B435" s="69"/>
      <c r="C435" s="69"/>
      <c r="D435" s="70"/>
      <c r="E435" s="69"/>
      <c r="F435" s="94"/>
      <c r="G435" s="69"/>
      <c r="H435" s="69"/>
    </row>
    <row r="436" spans="1:8" ht="16.149999999999999" customHeight="1">
      <c r="A436" s="68"/>
      <c r="B436" s="69"/>
      <c r="C436" s="69"/>
      <c r="D436" s="70"/>
      <c r="E436" s="69"/>
      <c r="F436" s="94"/>
      <c r="G436" s="69"/>
      <c r="H436" s="69"/>
    </row>
    <row r="437" spans="1:8" ht="16.149999999999999" customHeight="1">
      <c r="A437" s="68"/>
      <c r="B437" s="69"/>
      <c r="C437" s="69"/>
      <c r="D437" s="70"/>
      <c r="E437" s="69"/>
      <c r="F437" s="94"/>
      <c r="G437" s="69"/>
      <c r="H437" s="69"/>
    </row>
    <row r="438" spans="1:8" ht="16.149999999999999" customHeight="1">
      <c r="A438" s="68"/>
      <c r="B438" s="69"/>
      <c r="C438" s="69"/>
      <c r="D438" s="70"/>
      <c r="E438" s="69"/>
      <c r="F438" s="94"/>
      <c r="G438" s="69"/>
      <c r="H438" s="69"/>
    </row>
    <row r="439" spans="1:8" ht="16.149999999999999" customHeight="1">
      <c r="A439" s="68"/>
      <c r="B439" s="69"/>
      <c r="C439" s="69"/>
      <c r="D439" s="70"/>
      <c r="E439" s="69"/>
      <c r="F439" s="94"/>
      <c r="G439" s="69"/>
      <c r="H439" s="69"/>
    </row>
    <row r="440" spans="1:8" ht="16.149999999999999" customHeight="1">
      <c r="A440" s="68"/>
      <c r="B440" s="69"/>
      <c r="C440" s="69"/>
      <c r="D440" s="70"/>
      <c r="E440" s="69"/>
      <c r="F440" s="94"/>
      <c r="G440" s="69"/>
      <c r="H440" s="69"/>
    </row>
    <row r="441" spans="1:8" ht="16.149999999999999" customHeight="1">
      <c r="A441" s="68"/>
      <c r="B441" s="69"/>
      <c r="C441" s="69"/>
      <c r="D441" s="70"/>
      <c r="E441" s="69"/>
      <c r="F441" s="94"/>
      <c r="G441" s="69"/>
      <c r="H441" s="69"/>
    </row>
    <row r="442" spans="1:8" ht="16.149999999999999" customHeight="1">
      <c r="A442" s="68"/>
      <c r="B442" s="69"/>
      <c r="C442" s="69"/>
      <c r="D442" s="70"/>
      <c r="E442" s="69"/>
      <c r="F442" s="94"/>
      <c r="G442" s="69"/>
      <c r="H442" s="69"/>
    </row>
    <row r="443" spans="1:8" ht="16.149999999999999" customHeight="1">
      <c r="A443" s="68"/>
      <c r="B443" s="69"/>
      <c r="C443" s="69"/>
      <c r="D443" s="70"/>
      <c r="E443" s="69"/>
      <c r="F443" s="94"/>
      <c r="G443" s="69"/>
      <c r="H443" s="69"/>
    </row>
    <row r="444" spans="1:8" ht="16.149999999999999" customHeight="1">
      <c r="A444" s="68"/>
      <c r="B444" s="69"/>
      <c r="C444" s="69"/>
      <c r="D444" s="70"/>
      <c r="E444" s="69"/>
      <c r="F444" s="94"/>
      <c r="G444" s="69"/>
      <c r="H444" s="69"/>
    </row>
    <row r="445" spans="1:8" ht="16.149999999999999" customHeight="1">
      <c r="A445" s="68"/>
      <c r="B445" s="69"/>
      <c r="C445" s="69"/>
      <c r="D445" s="70"/>
      <c r="E445" s="69"/>
      <c r="F445" s="94"/>
      <c r="G445" s="69"/>
      <c r="H445" s="69"/>
    </row>
    <row r="446" spans="1:8" ht="16.149999999999999" customHeight="1">
      <c r="A446" s="68"/>
      <c r="B446" s="69"/>
      <c r="C446" s="69"/>
      <c r="D446" s="70"/>
      <c r="E446" s="69"/>
      <c r="F446" s="94"/>
      <c r="G446" s="69"/>
      <c r="H446" s="69"/>
    </row>
    <row r="447" spans="1:8" ht="16.149999999999999" customHeight="1">
      <c r="A447" s="68"/>
      <c r="B447" s="69"/>
      <c r="C447" s="69"/>
      <c r="D447" s="70"/>
      <c r="E447" s="69"/>
      <c r="F447" s="94"/>
      <c r="G447" s="69"/>
      <c r="H447" s="69"/>
    </row>
    <row r="448" spans="1:8" ht="16.149999999999999" customHeight="1">
      <c r="A448" s="68"/>
      <c r="B448" s="69"/>
      <c r="C448" s="69"/>
      <c r="D448" s="70"/>
      <c r="E448" s="69"/>
      <c r="F448" s="94"/>
      <c r="G448" s="69"/>
      <c r="H448" s="69"/>
    </row>
    <row r="449" spans="1:8" ht="16.149999999999999" customHeight="1">
      <c r="A449" s="68"/>
      <c r="B449" s="69"/>
      <c r="C449" s="69"/>
      <c r="D449" s="70"/>
      <c r="E449" s="69"/>
      <c r="F449" s="94"/>
      <c r="G449" s="69"/>
      <c r="H449" s="69"/>
    </row>
    <row r="450" spans="1:8" ht="16.149999999999999" customHeight="1">
      <c r="A450" s="68"/>
      <c r="B450" s="69"/>
      <c r="C450" s="69"/>
      <c r="D450" s="70"/>
      <c r="E450" s="69"/>
      <c r="F450" s="94"/>
      <c r="G450" s="69"/>
      <c r="H450" s="69"/>
    </row>
    <row r="451" spans="1:8" ht="16.149999999999999" customHeight="1">
      <c r="A451" s="68"/>
      <c r="B451" s="69"/>
      <c r="C451" s="69"/>
      <c r="D451" s="70"/>
      <c r="E451" s="69"/>
      <c r="F451" s="94"/>
      <c r="G451" s="69"/>
      <c r="H451" s="69"/>
    </row>
    <row r="452" spans="1:8" ht="16.149999999999999" customHeight="1">
      <c r="A452" s="68"/>
      <c r="B452" s="69"/>
      <c r="C452" s="69"/>
      <c r="D452" s="70"/>
      <c r="E452" s="69"/>
      <c r="F452" s="94"/>
      <c r="G452" s="69"/>
      <c r="H452" s="69"/>
    </row>
    <row r="453" spans="1:8" ht="16.149999999999999" customHeight="1">
      <c r="A453" s="68"/>
      <c r="B453" s="69"/>
      <c r="C453" s="69"/>
      <c r="D453" s="70"/>
      <c r="E453" s="69"/>
      <c r="F453" s="94"/>
      <c r="G453" s="69"/>
      <c r="H453" s="69"/>
    </row>
    <row r="454" spans="1:8" ht="16.149999999999999" customHeight="1">
      <c r="A454" s="68"/>
      <c r="B454" s="69"/>
      <c r="C454" s="69"/>
      <c r="D454" s="70"/>
      <c r="E454" s="69"/>
      <c r="F454" s="94"/>
      <c r="G454" s="69"/>
      <c r="H454" s="69"/>
    </row>
    <row r="455" spans="1:8" ht="16.149999999999999" customHeight="1">
      <c r="A455" s="68"/>
      <c r="B455" s="69"/>
      <c r="C455" s="69"/>
      <c r="D455" s="70"/>
      <c r="E455" s="69"/>
      <c r="F455" s="94"/>
      <c r="G455" s="69"/>
      <c r="H455" s="69"/>
    </row>
    <row r="456" spans="1:8" ht="16.149999999999999" customHeight="1">
      <c r="F456" s="120"/>
    </row>
    <row r="457" spans="1:8" ht="16.149999999999999" customHeight="1">
      <c r="F457" s="120"/>
    </row>
    <row r="458" spans="1:8" ht="16.149999999999999" customHeight="1">
      <c r="F458" s="120"/>
    </row>
    <row r="459" spans="1:8" ht="16.149999999999999" customHeight="1">
      <c r="F459" s="120"/>
    </row>
    <row r="460" spans="1:8" ht="16.149999999999999" customHeight="1">
      <c r="F460" s="120"/>
    </row>
    <row r="461" spans="1:8" ht="19.899999999999999" customHeight="1">
      <c r="F461" s="120"/>
    </row>
    <row r="462" spans="1:8" ht="19.899999999999999" customHeight="1">
      <c r="F462" s="120"/>
    </row>
    <row r="463" spans="1:8" ht="19.899999999999999" customHeight="1">
      <c r="F463" s="120"/>
    </row>
    <row r="464" spans="1:8" ht="19.899999999999999" customHeight="1">
      <c r="F464" s="120"/>
    </row>
    <row r="465" spans="6:6" ht="19.899999999999999" customHeight="1">
      <c r="F465" s="120"/>
    </row>
  </sheetData>
  <mergeCells count="1">
    <mergeCell ref="B2:G2"/>
  </mergeCells>
  <pageMargins left="0.59055118110236227" right="0.62992125984251968" top="0.31496062992125984" bottom="0.35433070866141736" header="0.31496062992125984" footer="0.31496062992125984"/>
  <pageSetup paperSize="9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CDA8D-42AD-4184-A6A4-B0127D903CA8}">
  <dimension ref="B1:J69"/>
  <sheetViews>
    <sheetView view="pageBreakPreview" topLeftCell="B1" zoomScale="90" zoomScaleNormal="100" zoomScaleSheetLayoutView="90" workbookViewId="0">
      <selection activeCell="C14" sqref="C14"/>
    </sheetView>
  </sheetViews>
  <sheetFormatPr defaultColWidth="18.7265625" defaultRowHeight="17.5"/>
  <cols>
    <col min="1" max="1" width="6.453125" style="14" customWidth="1"/>
    <col min="2" max="2" width="22.7265625" style="14" customWidth="1"/>
    <col min="3" max="3" width="25.26953125" style="14" customWidth="1"/>
    <col min="4" max="4" width="28.26953125" style="14" customWidth="1"/>
    <col min="5" max="5" width="35.7265625" style="14" customWidth="1"/>
    <col min="6" max="6" width="33" style="14" customWidth="1"/>
    <col min="7" max="7" width="32.7265625" style="14" customWidth="1"/>
    <col min="8" max="16384" width="18.7265625" style="14"/>
  </cols>
  <sheetData>
    <row r="1" spans="2:7" ht="18.5" thickBot="1">
      <c r="B1" s="12" t="s">
        <v>543</v>
      </c>
      <c r="C1" s="13"/>
      <c r="D1" s="13"/>
      <c r="E1" s="13"/>
      <c r="F1" s="13"/>
      <c r="G1" s="13"/>
    </row>
    <row r="2" spans="2:7" ht="18.5" thickBot="1">
      <c r="B2" s="157" t="s">
        <v>544</v>
      </c>
      <c r="C2" s="158"/>
      <c r="D2" s="158"/>
      <c r="E2" s="158"/>
      <c r="F2" s="159" t="s">
        <v>545</v>
      </c>
      <c r="G2" s="160"/>
    </row>
    <row r="3" spans="2:7" ht="18">
      <c r="B3" s="15" t="s">
        <v>546</v>
      </c>
      <c r="C3" s="16"/>
      <c r="D3" s="16"/>
      <c r="E3" s="17"/>
      <c r="F3" s="18" t="s">
        <v>440</v>
      </c>
      <c r="G3" s="19">
        <v>0</v>
      </c>
    </row>
    <row r="4" spans="2:7" ht="18">
      <c r="B4" s="161" t="s">
        <v>547</v>
      </c>
      <c r="C4" s="162"/>
      <c r="D4" s="162"/>
      <c r="E4" s="20"/>
      <c r="F4" s="18" t="s">
        <v>442</v>
      </c>
      <c r="G4" s="19">
        <v>0</v>
      </c>
    </row>
    <row r="5" spans="2:7" ht="18">
      <c r="B5" s="21" t="s">
        <v>548</v>
      </c>
      <c r="C5" s="22"/>
      <c r="D5" s="145">
        <f>ปร5!C12</f>
        <v>10897210.791828161</v>
      </c>
      <c r="E5" s="20" t="s">
        <v>549</v>
      </c>
      <c r="F5" s="18" t="s">
        <v>443</v>
      </c>
      <c r="G5" s="23">
        <v>7.0000000000000007E-2</v>
      </c>
    </row>
    <row r="6" spans="2:7" ht="18">
      <c r="B6" s="24" t="s">
        <v>550</v>
      </c>
      <c r="C6" s="163" t="s">
        <v>551</v>
      </c>
      <c r="D6" s="163"/>
      <c r="E6" s="20"/>
      <c r="F6" s="18" t="s">
        <v>552</v>
      </c>
      <c r="G6" s="19">
        <v>7.0000000000000007E-2</v>
      </c>
    </row>
    <row r="7" spans="2:7" ht="18.5" thickBot="1">
      <c r="B7" s="25"/>
      <c r="C7" s="22"/>
      <c r="D7" s="22"/>
      <c r="E7" s="20"/>
      <c r="F7" s="26"/>
      <c r="G7" s="27"/>
    </row>
    <row r="8" spans="2:7" ht="18.5" thickTop="1">
      <c r="B8" s="28" t="s">
        <v>553</v>
      </c>
      <c r="C8" s="29">
        <f>IF(C9&lt;499999,500000,VLOOKUP(C9,factor_table,1,TRUE))</f>
        <v>10000000</v>
      </c>
      <c r="D8" s="30" t="s">
        <v>554</v>
      </c>
      <c r="E8" s="20"/>
      <c r="F8" s="31" t="s">
        <v>555</v>
      </c>
      <c r="G8" s="32" t="s">
        <v>77</v>
      </c>
    </row>
    <row r="9" spans="2:7" ht="18.5" thickBot="1">
      <c r="B9" s="33" t="s">
        <v>556</v>
      </c>
      <c r="C9" s="152">
        <f>D5</f>
        <v>10897210.791828161</v>
      </c>
      <c r="D9" s="22" t="s">
        <v>557</v>
      </c>
      <c r="E9" s="20"/>
      <c r="F9" s="34" t="s">
        <v>558</v>
      </c>
      <c r="G9" s="35"/>
    </row>
    <row r="10" spans="2:7" ht="18.5" thickTop="1">
      <c r="B10" s="36" t="s">
        <v>559</v>
      </c>
      <c r="C10" s="37">
        <f>IF(C9&gt;500000001,500000001,INDEX(factor_table,MATCH(C8,factor_table,0)+1,1))</f>
        <v>15000000</v>
      </c>
      <c r="D10" s="38" t="s">
        <v>560</v>
      </c>
      <c r="E10" s="20"/>
      <c r="F10" s="39">
        <v>500000</v>
      </c>
      <c r="G10" s="40">
        <v>1.3090999999999999</v>
      </c>
    </row>
    <row r="11" spans="2:7" ht="18">
      <c r="B11" s="25"/>
      <c r="C11" s="22"/>
      <c r="D11" s="22"/>
      <c r="E11" s="20"/>
      <c r="F11" s="39">
        <v>1000000</v>
      </c>
      <c r="G11" s="41">
        <v>1.3067</v>
      </c>
    </row>
    <row r="12" spans="2:7" ht="18">
      <c r="B12" s="42" t="s">
        <v>561</v>
      </c>
      <c r="C12" s="43">
        <f>VLOOKUP(C8,$F$10:$G$33,2,FALSE)</f>
        <v>1.296</v>
      </c>
      <c r="D12" s="22" t="s">
        <v>562</v>
      </c>
      <c r="E12" s="20"/>
      <c r="F12" s="39">
        <v>2000000</v>
      </c>
      <c r="G12" s="44">
        <v>1.3050999999999999</v>
      </c>
    </row>
    <row r="13" spans="2:7" ht="18.5" thickBot="1">
      <c r="B13" s="42" t="s">
        <v>563</v>
      </c>
      <c r="C13" s="43">
        <f>VLOOKUP(C10,$F$10:$G$33,2,FALSE)</f>
        <v>1.2611000000000001</v>
      </c>
      <c r="D13" s="22" t="s">
        <v>564</v>
      </c>
      <c r="E13" s="20"/>
      <c r="F13" s="39">
        <v>5000000</v>
      </c>
      <c r="G13" s="44">
        <v>1.302</v>
      </c>
    </row>
    <row r="14" spans="2:7" ht="19" thickTop="1" thickBot="1">
      <c r="B14" s="33" t="s">
        <v>550</v>
      </c>
      <c r="C14" s="45">
        <f>ROUND(C12-(((C12-C13)*(C9-C8))/(C10-C8)),4)</f>
        <v>1.2897000000000001</v>
      </c>
      <c r="D14" s="46" t="s">
        <v>565</v>
      </c>
      <c r="E14" s="20"/>
      <c r="F14" s="39">
        <v>10000000</v>
      </c>
      <c r="G14" s="44">
        <v>1.296</v>
      </c>
    </row>
    <row r="15" spans="2:7" ht="18.5" thickTop="1">
      <c r="B15" s="25"/>
      <c r="C15" s="22"/>
      <c r="D15" s="46"/>
      <c r="E15" s="20"/>
      <c r="F15" s="39">
        <v>15000000</v>
      </c>
      <c r="G15" s="44">
        <v>1.2611000000000001</v>
      </c>
    </row>
    <row r="16" spans="2:7" ht="18">
      <c r="B16" s="42" t="s">
        <v>566</v>
      </c>
      <c r="C16" s="47">
        <f>C9*C14</f>
        <v>14054132.758220781</v>
      </c>
      <c r="D16" s="22"/>
      <c r="E16" s="20"/>
      <c r="F16" s="39">
        <v>20000000</v>
      </c>
      <c r="G16" s="44">
        <v>1.2535000000000001</v>
      </c>
    </row>
    <row r="17" spans="2:7" ht="18">
      <c r="B17" s="164" t="s">
        <v>1</v>
      </c>
      <c r="C17" s="165"/>
      <c r="D17" s="165"/>
      <c r="E17" s="166"/>
      <c r="F17" s="39">
        <v>25000000</v>
      </c>
      <c r="G17" s="44">
        <v>1.2264999999999999</v>
      </c>
    </row>
    <row r="18" spans="2:7" ht="18">
      <c r="B18" s="25"/>
      <c r="C18" s="22"/>
      <c r="D18" s="22"/>
      <c r="E18" s="20"/>
      <c r="F18" s="39">
        <v>30000000</v>
      </c>
      <c r="G18" s="44">
        <v>1.2181</v>
      </c>
    </row>
    <row r="19" spans="2:7" ht="18">
      <c r="B19" s="25"/>
      <c r="C19" s="22"/>
      <c r="D19" s="22"/>
      <c r="E19" s="20"/>
      <c r="F19" s="39">
        <v>40000000</v>
      </c>
      <c r="G19" s="44">
        <v>1.2177</v>
      </c>
    </row>
    <row r="20" spans="2:7" ht="18">
      <c r="B20" s="25"/>
      <c r="C20" s="30" t="s">
        <v>1</v>
      </c>
      <c r="D20" s="22"/>
      <c r="E20" s="20"/>
      <c r="F20" s="39">
        <v>50000000</v>
      </c>
      <c r="G20" s="44">
        <v>1.2176</v>
      </c>
    </row>
    <row r="21" spans="2:7" ht="18">
      <c r="B21" s="25"/>
      <c r="C21" s="22" t="s">
        <v>1</v>
      </c>
      <c r="D21" s="22"/>
      <c r="E21" s="20"/>
      <c r="F21" s="39">
        <v>60000000</v>
      </c>
      <c r="G21" s="44">
        <v>1.2078</v>
      </c>
    </row>
    <row r="22" spans="2:7" ht="18">
      <c r="B22" s="25"/>
      <c r="C22" s="22" t="s">
        <v>1</v>
      </c>
      <c r="D22" s="22"/>
      <c r="E22" s="20"/>
      <c r="F22" s="39">
        <v>70000000</v>
      </c>
      <c r="G22" s="44">
        <v>1.2067000000000001</v>
      </c>
    </row>
    <row r="23" spans="2:7" ht="18">
      <c r="B23" s="48"/>
      <c r="C23" s="49" t="s">
        <v>1</v>
      </c>
      <c r="D23" s="46"/>
      <c r="E23" s="20"/>
      <c r="F23" s="39">
        <v>80000000</v>
      </c>
      <c r="G23" s="44">
        <v>1.2067000000000001</v>
      </c>
    </row>
    <row r="24" spans="2:7" ht="18">
      <c r="B24" s="25"/>
      <c r="C24" s="22" t="s">
        <v>1</v>
      </c>
      <c r="D24" s="22"/>
      <c r="E24" s="20"/>
      <c r="F24" s="39">
        <v>90000000</v>
      </c>
      <c r="G24" s="44">
        <v>1.2065999999999999</v>
      </c>
    </row>
    <row r="25" spans="2:7" ht="18">
      <c r="B25" s="25"/>
      <c r="C25" s="22"/>
      <c r="D25" s="22"/>
      <c r="E25" s="50"/>
      <c r="F25" s="39">
        <v>100000000</v>
      </c>
      <c r="G25" s="44">
        <v>1.2065999999999999</v>
      </c>
    </row>
    <row r="26" spans="2:7" ht="18">
      <c r="B26" s="25"/>
      <c r="C26" s="22"/>
      <c r="D26" s="22"/>
      <c r="E26" s="20"/>
      <c r="F26" s="39">
        <v>150000000</v>
      </c>
      <c r="G26" s="44">
        <v>1.2039</v>
      </c>
    </row>
    <row r="27" spans="2:7" ht="18">
      <c r="B27" s="25"/>
      <c r="C27" s="22"/>
      <c r="D27" s="22"/>
      <c r="E27" s="51" t="s">
        <v>1</v>
      </c>
      <c r="F27" s="39">
        <v>200000000</v>
      </c>
      <c r="G27" s="44">
        <v>1.2039</v>
      </c>
    </row>
    <row r="28" spans="2:7" ht="18">
      <c r="B28" s="25"/>
      <c r="C28" s="22"/>
      <c r="D28" s="22"/>
      <c r="E28" s="20"/>
      <c r="F28" s="39">
        <v>250000000</v>
      </c>
      <c r="G28" s="44">
        <v>1.2031000000000001</v>
      </c>
    </row>
    <row r="29" spans="2:7" ht="18">
      <c r="B29" s="25"/>
      <c r="C29" s="22"/>
      <c r="D29" s="22"/>
      <c r="E29" s="50"/>
      <c r="F29" s="39">
        <v>300000000</v>
      </c>
      <c r="G29" s="44">
        <v>1.1969000000000001</v>
      </c>
    </row>
    <row r="30" spans="2:7" ht="18">
      <c r="B30" s="25"/>
      <c r="C30" s="22"/>
      <c r="D30" s="22"/>
      <c r="E30" s="20"/>
      <c r="F30" s="39">
        <v>350000000</v>
      </c>
      <c r="G30" s="44">
        <v>1.1883999999999999</v>
      </c>
    </row>
    <row r="31" spans="2:7" ht="18">
      <c r="B31" s="25"/>
      <c r="C31" s="22"/>
      <c r="D31" s="22"/>
      <c r="E31" s="50"/>
      <c r="F31" s="39">
        <v>400000000</v>
      </c>
      <c r="G31" s="44">
        <v>1.1877</v>
      </c>
    </row>
    <row r="32" spans="2:7" ht="18">
      <c r="B32" s="25"/>
      <c r="C32" s="22"/>
      <c r="D32" s="22"/>
      <c r="E32" s="20"/>
      <c r="F32" s="39">
        <v>500000000</v>
      </c>
      <c r="G32" s="44">
        <v>1.1871</v>
      </c>
    </row>
    <row r="33" spans="2:7" ht="18">
      <c r="B33" s="52"/>
      <c r="C33" s="53"/>
      <c r="D33" s="53"/>
      <c r="E33" s="54"/>
      <c r="F33" s="55">
        <v>500000001</v>
      </c>
      <c r="G33" s="44">
        <v>1.1805000000000001</v>
      </c>
    </row>
    <row r="34" spans="2:7" ht="18">
      <c r="B34" s="13"/>
      <c r="C34" s="13"/>
      <c r="D34" s="13"/>
      <c r="E34" s="13"/>
      <c r="F34" s="13"/>
      <c r="G34" s="56" t="s">
        <v>1</v>
      </c>
    </row>
    <row r="53" spans="6:10">
      <c r="G53" s="13"/>
      <c r="H53" s="13"/>
      <c r="I53" s="13"/>
      <c r="J53" s="13"/>
    </row>
    <row r="64" spans="6:10">
      <c r="F64" s="13"/>
      <c r="G64" s="13"/>
      <c r="H64" s="57"/>
      <c r="I64" s="57"/>
      <c r="J64" s="57"/>
    </row>
    <row r="65" spans="8:10">
      <c r="H65" s="57"/>
      <c r="I65" s="57"/>
      <c r="J65" s="57"/>
    </row>
    <row r="66" spans="8:10">
      <c r="H66" s="57"/>
      <c r="I66" s="57"/>
      <c r="J66" s="57"/>
    </row>
    <row r="67" spans="8:10">
      <c r="H67" s="57"/>
      <c r="I67" s="57"/>
      <c r="J67" s="57"/>
    </row>
    <row r="68" spans="8:10">
      <c r="H68" s="57"/>
      <c r="I68" s="57"/>
      <c r="J68" s="57"/>
    </row>
    <row r="69" spans="8:10">
      <c r="H69" s="57"/>
      <c r="I69" s="57"/>
      <c r="J69" s="57"/>
    </row>
  </sheetData>
  <mergeCells count="5">
    <mergeCell ref="B2:E2"/>
    <mergeCell ref="F2:G2"/>
    <mergeCell ref="B4:D4"/>
    <mergeCell ref="C6:D6"/>
    <mergeCell ref="B17:E17"/>
  </mergeCells>
  <pageMargins left="0.70866141732283472" right="0.70866141732283472" top="0.74803149606299213" bottom="0.74803149606299213" header="0.31496062992125984" footer="0.31496062992125984"/>
  <pageSetup paperSize="9" scale="69" orientation="landscape" horizontalDpi="4294967293" r:id="rId1"/>
  <rowBreaks count="1" manualBreakCount="1">
    <brk id="33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2:G24"/>
  <sheetViews>
    <sheetView zoomScaleNormal="100" workbookViewId="0">
      <selection activeCell="G19" sqref="G19"/>
    </sheetView>
  </sheetViews>
  <sheetFormatPr defaultRowHeight="12.5"/>
  <cols>
    <col min="2" max="2" width="27.54296875" customWidth="1"/>
    <col min="3" max="3" width="24" customWidth="1"/>
    <col min="4" max="4" width="11.453125" customWidth="1"/>
  </cols>
  <sheetData>
    <row r="2" spans="1:7">
      <c r="A2" s="1" t="s">
        <v>422</v>
      </c>
      <c r="B2" s="1"/>
      <c r="C2" s="1" t="s">
        <v>423</v>
      </c>
      <c r="D2" s="2" t="s">
        <v>424</v>
      </c>
    </row>
    <row r="3" spans="1:7">
      <c r="A3" s="1"/>
      <c r="B3" s="1"/>
      <c r="C3" s="1" t="s">
        <v>425</v>
      </c>
      <c r="D3" s="2" t="s">
        <v>426</v>
      </c>
    </row>
    <row r="5" spans="1:7" ht="20.5">
      <c r="C5" s="3" t="s">
        <v>427</v>
      </c>
      <c r="D5" s="4"/>
      <c r="E5" s="167" t="s">
        <v>428</v>
      </c>
      <c r="F5" s="168"/>
      <c r="G5" s="168"/>
    </row>
    <row r="6" spans="1:7">
      <c r="B6" s="1" t="s">
        <v>429</v>
      </c>
      <c r="C6" s="5">
        <v>1.2611000000000001</v>
      </c>
      <c r="D6" s="4"/>
      <c r="E6" t="s">
        <v>429</v>
      </c>
    </row>
    <row r="7" spans="1:7">
      <c r="B7" s="1" t="s">
        <v>430</v>
      </c>
      <c r="C7" s="5">
        <v>1.296</v>
      </c>
      <c r="E7" t="s">
        <v>430</v>
      </c>
    </row>
    <row r="8" spans="1:7">
      <c r="B8" s="1" t="s">
        <v>431</v>
      </c>
      <c r="C8" s="11">
        <f xml:space="preserve">  C7 - C6</f>
        <v>3.4899999999999931E-2</v>
      </c>
    </row>
    <row r="9" spans="1:7">
      <c r="B9" s="1" t="s">
        <v>432</v>
      </c>
      <c r="C9" s="6">
        <f>ปร5!C12</f>
        <v>10897210.791828161</v>
      </c>
      <c r="E9" t="s">
        <v>432</v>
      </c>
    </row>
    <row r="10" spans="1:7">
      <c r="B10" s="1" t="s">
        <v>433</v>
      </c>
      <c r="C10" s="6">
        <v>15000000</v>
      </c>
      <c r="E10" t="s">
        <v>433</v>
      </c>
    </row>
    <row r="11" spans="1:7">
      <c r="B11" s="1" t="s">
        <v>434</v>
      </c>
      <c r="C11" s="6">
        <v>10000000</v>
      </c>
      <c r="E11" t="s">
        <v>434</v>
      </c>
    </row>
    <row r="12" spans="1:7">
      <c r="B12" s="1" t="s">
        <v>435</v>
      </c>
      <c r="C12" s="7">
        <f xml:space="preserve"> C10 - C9</f>
        <v>4102789.2081718389</v>
      </c>
      <c r="D12" s="8">
        <f>C8*C12</f>
        <v>143187.3433651969</v>
      </c>
      <c r="E12" s="1">
        <f>D12/C14</f>
        <v>2.863746867303938E-2</v>
      </c>
    </row>
    <row r="13" spans="1:7">
      <c r="B13" s="1" t="s">
        <v>436</v>
      </c>
      <c r="C13" s="7">
        <f xml:space="preserve"> C9 - C11</f>
        <v>897210.79182816111</v>
      </c>
      <c r="D13" s="8">
        <f>C8*C13</f>
        <v>31312.656634802759</v>
      </c>
      <c r="E13" s="1">
        <f>D13/C14</f>
        <v>6.2625313269605515E-3</v>
      </c>
    </row>
    <row r="14" spans="1:7">
      <c r="B14" s="1" t="s">
        <v>437</v>
      </c>
      <c r="C14" s="7">
        <f xml:space="preserve"> C10 - C11</f>
        <v>5000000</v>
      </c>
      <c r="D14" s="4"/>
      <c r="E14" s="9"/>
    </row>
    <row r="15" spans="1:7">
      <c r="B15" s="1"/>
      <c r="C15" s="1"/>
    </row>
    <row r="16" spans="1:7">
      <c r="B16" s="2" t="s">
        <v>438</v>
      </c>
      <c r="C16" s="153">
        <f>C6+E12</f>
        <v>1.2897374686730394</v>
      </c>
    </row>
    <row r="17" spans="2:5">
      <c r="B17" s="2" t="s">
        <v>439</v>
      </c>
      <c r="C17" s="153">
        <f>C7-E13</f>
        <v>1.2897374686730394</v>
      </c>
    </row>
    <row r="21" spans="2:5">
      <c r="B21" s="10" t="s">
        <v>650</v>
      </c>
      <c r="C21" s="10" t="s">
        <v>440</v>
      </c>
      <c r="D21">
        <v>0</v>
      </c>
      <c r="E21" s="154" t="s">
        <v>441</v>
      </c>
    </row>
    <row r="22" spans="2:5">
      <c r="B22" s="10" t="s">
        <v>651</v>
      </c>
      <c r="C22" s="10" t="s">
        <v>442</v>
      </c>
      <c r="D22">
        <v>0</v>
      </c>
      <c r="E22" s="154" t="s">
        <v>441</v>
      </c>
    </row>
    <row r="23" spans="2:5">
      <c r="C23" s="10" t="s">
        <v>443</v>
      </c>
      <c r="D23">
        <v>7</v>
      </c>
      <c r="E23" s="154" t="s">
        <v>441</v>
      </c>
    </row>
    <row r="24" spans="2:5">
      <c r="C24" s="10" t="s">
        <v>444</v>
      </c>
      <c r="D24">
        <v>7</v>
      </c>
      <c r="E24" s="154" t="s">
        <v>441</v>
      </c>
    </row>
  </sheetData>
  <mergeCells count="1">
    <mergeCell ref="E5:G5"/>
  </mergeCells>
  <pageMargins left="0.3" right="0.3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6</vt:i4>
      </vt:variant>
    </vt:vector>
  </HeadingPairs>
  <TitlesOfParts>
    <vt:vector size="11" baseType="lpstr">
      <vt:lpstr>ปร5</vt:lpstr>
      <vt:lpstr>ปร4</vt:lpstr>
      <vt:lpstr>ราคา</vt:lpstr>
      <vt:lpstr>ตาราง FACTOR F</vt:lpstr>
      <vt:lpstr>Factor F</vt:lpstr>
      <vt:lpstr>'ตาราง FACTOR F'!factor_table</vt:lpstr>
      <vt:lpstr>'ตาราง FACTOR F'!Print_Area</vt:lpstr>
      <vt:lpstr>ปร4!Print_Area</vt:lpstr>
      <vt:lpstr>ปร5!Print_Area</vt:lpstr>
      <vt:lpstr>ปร4!Print_Titles</vt:lpstr>
      <vt:lpstr>ราคา!Print_Titles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Aran_PC</dc:creator>
  <cp:lastModifiedBy>ณัฐวุฒิ จันทรมนตรี</cp:lastModifiedBy>
  <cp:lastPrinted>2024-12-23T03:17:38Z</cp:lastPrinted>
  <dcterms:created xsi:type="dcterms:W3CDTF">2007-07-16T13:36:28Z</dcterms:created>
  <dcterms:modified xsi:type="dcterms:W3CDTF">2024-12-23T03:17:48Z</dcterms:modified>
</cp:coreProperties>
</file>